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6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7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8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026"/>
  <workbookPr codeName="ThisWorkbook"/>
  <mc:AlternateContent xmlns:mc="http://schemas.openxmlformats.org/markup-compatibility/2006">
    <mc:Choice Requires="x15">
      <x15ac:absPath xmlns:x15ac="http://schemas.microsoft.com/office/spreadsheetml/2010/11/ac" url="D:\ESTUDIOS HIDROLOGICOS\PIP ECOSIST. OAJONAL AYMARAES\"/>
    </mc:Choice>
  </mc:AlternateContent>
  <xr:revisionPtr revIDLastSave="0" documentId="13_ncr:1_{500AD043-0791-4198-85E7-C4DC4EAB56DA}" xr6:coauthVersionLast="45" xr6:coauthVersionMax="45" xr10:uidLastSave="{00000000-0000-0000-0000-000000000000}"/>
  <bookViews>
    <workbookView xWindow="-108" yWindow="-108" windowWidth="23256" windowHeight="12576" firstSheet="1" activeTab="2" xr2:uid="{00000000-000D-0000-FFFF-FFFF00000000}"/>
  </bookViews>
  <sheets>
    <sheet name="PENDIENTE_CUENCA-_ALTM_HIPSO" sheetId="2" r:id="rId1"/>
    <sheet name="Rectángulo equivalente" sheetId="6" r:id="rId2"/>
    <sheet name="Parámetros geomorfológicos" sheetId="3" r:id="rId3"/>
    <sheet name="Parámetros meteorológicos" sheetId="4" r:id="rId4"/>
    <sheet name="Cálculo de caudales de diseño" sheetId="7" r:id="rId5"/>
  </sheets>
  <externalReferences>
    <externalReference r:id="rId6"/>
  </externalReferences>
  <definedNames>
    <definedName name="_xlnm.Print_Area" localSheetId="0">'PENDIENTE_CUENCA-_ALTM_HIPSO'!$A$1:$I$164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E183" i="3" l="1"/>
  <c r="E182" i="3"/>
  <c r="C156" i="3"/>
  <c r="J5" i="6"/>
  <c r="J4" i="6"/>
  <c r="F160" i="2" l="1"/>
  <c r="C160" i="2" s="1"/>
  <c r="E52" i="3" l="1"/>
  <c r="T45" i="3" s="1"/>
  <c r="F78" i="2" l="1"/>
  <c r="B67" i="2"/>
  <c r="U45" i="3" l="1"/>
  <c r="I45" i="3"/>
  <c r="V45" i="3"/>
  <c r="E11" i="2"/>
  <c r="F90" i="3" s="1"/>
  <c r="S45" i="3" l="1"/>
  <c r="H45" i="3" s="1"/>
  <c r="E92" i="3"/>
  <c r="G94" i="3"/>
  <c r="K44" i="2"/>
  <c r="M44" i="2"/>
  <c r="K45" i="3" l="1"/>
  <c r="H90" i="3"/>
  <c r="E177" i="3" l="1"/>
  <c r="E173" i="3"/>
  <c r="I90" i="3"/>
  <c r="E176" i="3" s="1"/>
  <c r="E166" i="3"/>
  <c r="G52" i="3"/>
  <c r="S56" i="3"/>
  <c r="W45" i="3"/>
  <c r="S55" i="3" s="1"/>
  <c r="C102" i="2"/>
  <c r="C14" i="2" l="1"/>
  <c r="D35" i="2" l="1"/>
  <c r="K27" i="7" l="1"/>
  <c r="R29" i="7" l="1"/>
  <c r="L29" i="7"/>
  <c r="M29" i="7"/>
  <c r="N29" i="7"/>
  <c r="O29" i="7"/>
  <c r="P29" i="7"/>
  <c r="Q29" i="7"/>
  <c r="K29" i="7"/>
  <c r="L28" i="7"/>
  <c r="M28" i="7"/>
  <c r="N28" i="7"/>
  <c r="O28" i="7"/>
  <c r="P28" i="7"/>
  <c r="Q28" i="7"/>
  <c r="R28" i="7"/>
  <c r="K28" i="7"/>
  <c r="L27" i="7"/>
  <c r="M27" i="7"/>
  <c r="N27" i="7"/>
  <c r="O27" i="7"/>
  <c r="P27" i="7"/>
  <c r="Q27" i="7"/>
  <c r="R27" i="7"/>
  <c r="J4" i="7" l="1"/>
  <c r="O62" i="3" l="1"/>
  <c r="T7" i="7"/>
  <c r="S10" i="7" s="1"/>
  <c r="S11" i="7" s="1"/>
  <c r="D19" i="7" l="1"/>
  <c r="D20" i="7"/>
  <c r="D18" i="7"/>
  <c r="I12" i="7" l="1"/>
  <c r="H12" i="7"/>
  <c r="J12" i="7"/>
  <c r="L4" i="7"/>
  <c r="L5" i="7"/>
  <c r="L6" i="7"/>
  <c r="K6" i="7"/>
  <c r="K5" i="7"/>
  <c r="K4" i="7"/>
  <c r="J6" i="7"/>
  <c r="M6" i="7" s="1"/>
  <c r="E20" i="7" s="1"/>
  <c r="J5" i="7"/>
  <c r="M5" i="7" s="1"/>
  <c r="E19" i="7" s="1"/>
  <c r="M4" i="7"/>
  <c r="E18" i="7" s="1"/>
  <c r="G18" i="7" l="1"/>
  <c r="D26" i="7"/>
  <c r="F18" i="7"/>
  <c r="D27" i="7"/>
  <c r="F19" i="7"/>
  <c r="G19" i="7" s="1"/>
  <c r="D28" i="7"/>
  <c r="F20" i="7"/>
  <c r="G20" i="7" s="1"/>
  <c r="H5" i="7"/>
  <c r="H6" i="7"/>
  <c r="H4" i="7"/>
  <c r="H18" i="7" l="1"/>
  <c r="I18" i="7" s="1"/>
  <c r="K18" i="7" s="1"/>
  <c r="D31" i="7"/>
  <c r="H19" i="7"/>
  <c r="D32" i="7"/>
  <c r="H20" i="7"/>
  <c r="D30" i="7"/>
  <c r="J134" i="3"/>
  <c r="C146" i="3" s="1"/>
  <c r="E179" i="3" s="1"/>
  <c r="D73" i="7" l="1"/>
  <c r="I19" i="7"/>
  <c r="R19" i="7" s="1"/>
  <c r="D93" i="7"/>
  <c r="I20" i="7"/>
  <c r="D113" i="7"/>
  <c r="D72" i="7"/>
  <c r="N18" i="7"/>
  <c r="O18" i="7"/>
  <c r="Q18" i="7"/>
  <c r="L18" i="7"/>
  <c r="P18" i="7"/>
  <c r="E72" i="7" s="1"/>
  <c r="M18" i="7"/>
  <c r="R18" i="7"/>
  <c r="D92" i="7" l="1"/>
  <c r="K19" i="7"/>
  <c r="Q19" i="7"/>
  <c r="L19" i="7"/>
  <c r="P19" i="7"/>
  <c r="E92" i="7" s="1"/>
  <c r="O19" i="7"/>
  <c r="N19" i="7"/>
  <c r="M19" i="7"/>
  <c r="D112" i="7"/>
  <c r="K20" i="7"/>
  <c r="R20" i="7"/>
  <c r="L20" i="7"/>
  <c r="Q20" i="7"/>
  <c r="M20" i="7"/>
  <c r="P20" i="7"/>
  <c r="E112" i="7" s="1"/>
  <c r="N20" i="7"/>
  <c r="O20" i="7"/>
  <c r="I65" i="6"/>
  <c r="J65" i="6" s="1"/>
  <c r="D28" i="6"/>
  <c r="E171" i="3" l="1"/>
  <c r="K33" i="6"/>
  <c r="K34" i="6"/>
  <c r="K35" i="6"/>
  <c r="K36" i="6"/>
  <c r="K37" i="6"/>
  <c r="K38" i="6"/>
  <c r="K39" i="6"/>
  <c r="K40" i="6"/>
  <c r="K41" i="6"/>
  <c r="K42" i="6"/>
  <c r="K43" i="6"/>
  <c r="K44" i="6"/>
  <c r="K45" i="6"/>
  <c r="K46" i="6"/>
  <c r="K47" i="6"/>
  <c r="K48" i="6"/>
  <c r="D12" i="6" l="1"/>
  <c r="E170" i="3" l="1"/>
  <c r="D80" i="6"/>
  <c r="F70" i="2"/>
  <c r="F71" i="2"/>
  <c r="F72" i="2"/>
  <c r="F73" i="2"/>
  <c r="F74" i="2"/>
  <c r="F75" i="2"/>
  <c r="F76" i="2"/>
  <c r="F77" i="2"/>
  <c r="F69" i="2"/>
  <c r="C69" i="2"/>
  <c r="C70" i="2"/>
  <c r="C71" i="2"/>
  <c r="C72" i="2"/>
  <c r="C73" i="2"/>
  <c r="C74" i="2"/>
  <c r="C75" i="2"/>
  <c r="C76" i="2"/>
  <c r="C68" i="2"/>
  <c r="B69" i="2"/>
  <c r="B70" i="2"/>
  <c r="B71" i="2"/>
  <c r="B72" i="2"/>
  <c r="B73" i="2"/>
  <c r="B74" i="2"/>
  <c r="B75" i="2"/>
  <c r="B76" i="2"/>
  <c r="B77" i="2"/>
  <c r="B68" i="2"/>
  <c r="C67" i="2" s="1"/>
  <c r="D67" i="2" s="1"/>
  <c r="G69" i="2" s="1"/>
  <c r="E80" i="6" l="1"/>
  <c r="C161" i="2"/>
  <c r="F79" i="2"/>
  <c r="H69" i="2"/>
  <c r="C45" i="2"/>
  <c r="E34" i="2" l="1"/>
  <c r="F44" i="2"/>
  <c r="L44" i="2" s="1"/>
  <c r="F34" i="2"/>
  <c r="D69" i="2" l="1"/>
  <c r="G71" i="2" s="1"/>
  <c r="H71" i="2" s="1"/>
  <c r="D70" i="2"/>
  <c r="G72" i="2" s="1"/>
  <c r="H72" i="2" s="1"/>
  <c r="D71" i="2"/>
  <c r="G73" i="2" s="1"/>
  <c r="H73" i="2" s="1"/>
  <c r="D72" i="2"/>
  <c r="G74" i="2" s="1"/>
  <c r="H74" i="2" s="1"/>
  <c r="D73" i="2"/>
  <c r="G75" i="2" s="1"/>
  <c r="H75" i="2" s="1"/>
  <c r="D74" i="2"/>
  <c r="G76" i="2" s="1"/>
  <c r="H76" i="2" s="1"/>
  <c r="D75" i="2"/>
  <c r="G77" i="2" s="1"/>
  <c r="H77" i="2" s="1"/>
  <c r="D76" i="2"/>
  <c r="G78" i="2" s="1"/>
  <c r="H78" i="2" s="1"/>
  <c r="D68" i="2"/>
  <c r="G70" i="2" s="1"/>
  <c r="H70" i="2" s="1"/>
  <c r="K40" i="2"/>
  <c r="F43" i="2"/>
  <c r="F42" i="2"/>
  <c r="F41" i="2"/>
  <c r="F40" i="2"/>
  <c r="F39" i="2"/>
  <c r="F38" i="2"/>
  <c r="F37" i="2"/>
  <c r="F36" i="2"/>
  <c r="F35" i="2"/>
  <c r="G34" i="2"/>
  <c r="G79" i="2" l="1"/>
  <c r="H79" i="2"/>
  <c r="H80" i="2" s="1"/>
  <c r="F45" i="2"/>
  <c r="D36" i="2"/>
  <c r="E35" i="2"/>
  <c r="G35" i="2" s="1"/>
  <c r="E167" i="3" l="1"/>
  <c r="C110" i="2"/>
  <c r="E36" i="2"/>
  <c r="G36" i="2" s="1"/>
  <c r="D37" i="2"/>
  <c r="E37" i="2" l="1"/>
  <c r="G37" i="2" s="1"/>
  <c r="D38" i="2"/>
  <c r="C45" i="4"/>
  <c r="G45" i="4"/>
  <c r="E45" i="4"/>
  <c r="I45" i="4"/>
  <c r="G46" i="4"/>
  <c r="C46" i="4"/>
  <c r="E38" i="2" l="1"/>
  <c r="G38" i="2" s="1"/>
  <c r="D39" i="2"/>
  <c r="D40" i="2" l="1"/>
  <c r="E39" i="2"/>
  <c r="G39" i="2" s="1"/>
  <c r="I49" i="4"/>
  <c r="G49" i="4"/>
  <c r="E49" i="4"/>
  <c r="C49" i="4"/>
  <c r="I48" i="4"/>
  <c r="G48" i="4"/>
  <c r="E48" i="4"/>
  <c r="C48" i="4"/>
  <c r="I47" i="4"/>
  <c r="G47" i="4"/>
  <c r="E47" i="4"/>
  <c r="C47" i="4"/>
  <c r="I46" i="4"/>
  <c r="E46" i="4"/>
  <c r="O55" i="3"/>
  <c r="O56" i="3" s="1"/>
  <c r="O57" i="3" s="1"/>
  <c r="O58" i="3" s="1"/>
  <c r="F52" i="3"/>
  <c r="Q48" i="3"/>
  <c r="N52" i="3"/>
  <c r="M45" i="3"/>
  <c r="E172" i="3" l="1"/>
  <c r="J90" i="3"/>
  <c r="B58" i="3"/>
  <c r="H52" i="3" s="1"/>
  <c r="D41" i="2"/>
  <c r="E40" i="2"/>
  <c r="G40" i="2" s="1"/>
  <c r="E178" i="3" l="1"/>
  <c r="B62" i="3"/>
  <c r="B66" i="3" s="1"/>
  <c r="I52" i="3" s="1"/>
  <c r="E77" i="3" s="1"/>
  <c r="D42" i="2"/>
  <c r="E41" i="2"/>
  <c r="G41" i="2" s="1"/>
  <c r="B69" i="3" l="1"/>
  <c r="J52" i="3" s="1"/>
  <c r="E78" i="3" s="1"/>
  <c r="D43" i="2"/>
  <c r="D44" i="2" s="1"/>
  <c r="E44" i="2" s="1"/>
  <c r="G44" i="2" s="1"/>
  <c r="E42" i="2"/>
  <c r="G42" i="2" s="1"/>
  <c r="C164" i="2"/>
  <c r="E163" i="2" s="1"/>
  <c r="M41" i="2"/>
  <c r="M42" i="2"/>
  <c r="M43" i="2"/>
  <c r="M40" i="2"/>
  <c r="K41" i="2"/>
  <c r="K42" i="2"/>
  <c r="K43" i="2"/>
  <c r="L40" i="2"/>
  <c r="L41" i="2"/>
  <c r="L42" i="2"/>
  <c r="L43" i="2"/>
  <c r="E12" i="2" l="1"/>
  <c r="K92" i="2"/>
  <c r="E43" i="2"/>
  <c r="G43" i="2" s="1"/>
  <c r="C28" i="2" l="1"/>
  <c r="R45" i="3"/>
  <c r="G45" i="3" s="1"/>
  <c r="E90" i="3"/>
  <c r="C29" i="2"/>
  <c r="C97" i="2" s="1"/>
  <c r="L45" i="3" l="1"/>
  <c r="C52" i="3"/>
  <c r="O52" i="3" s="1"/>
  <c r="F77" i="3" s="1"/>
  <c r="H97" i="3"/>
  <c r="E165" i="3"/>
  <c r="E180" i="3"/>
  <c r="C134" i="3"/>
  <c r="E175" i="3" s="1"/>
  <c r="C124" i="3"/>
  <c r="E168" i="3" s="1"/>
  <c r="E112" i="3"/>
  <c r="E169" i="3" s="1"/>
</calcChain>
</file>

<file path=xl/sharedStrings.xml><?xml version="1.0" encoding="utf-8"?>
<sst xmlns="http://schemas.openxmlformats.org/spreadsheetml/2006/main" count="294" uniqueCount="236">
  <si>
    <t>m</t>
  </si>
  <si>
    <t>Km</t>
  </si>
  <si>
    <t>Donde:</t>
  </si>
  <si>
    <t xml:space="preserve">CALCULOS PARA LA OBTENCION DE CURVAS HIPSOMETRICAS, FRECUENCIA DE ALTITUDES Y RECTANGULO </t>
  </si>
  <si>
    <t>EQUIVALENTE</t>
  </si>
  <si>
    <t>A1</t>
  </si>
  <si>
    <t>total</t>
  </si>
  <si>
    <t>Coeficiente o indice de Compacidad Kc</t>
  </si>
  <si>
    <t>P =</t>
  </si>
  <si>
    <t>A=</t>
  </si>
  <si>
    <t>Luego:</t>
  </si>
  <si>
    <t>Kc=</t>
  </si>
  <si>
    <t>Rectangulo Equivalente</t>
  </si>
  <si>
    <t>reemplazando valores:</t>
  </si>
  <si>
    <t>a=</t>
  </si>
  <si>
    <t>b=</t>
  </si>
  <si>
    <t>PENDIENTE DE LA CUENCA (Metodo rectangulo equivalente)</t>
  </si>
  <si>
    <t>Sc=</t>
  </si>
  <si>
    <t>p=</t>
  </si>
  <si>
    <t>Se tiene</t>
  </si>
  <si>
    <t>ALTITUD MAS FRECUENTE Y ALTITUD MEDIA</t>
  </si>
  <si>
    <t>Altitud  mas frecuente (Hmf) msnm</t>
  </si>
  <si>
    <t>Hmf =</t>
  </si>
  <si>
    <t>msnm</t>
  </si>
  <si>
    <t>Altitud Media</t>
  </si>
  <si>
    <t>H=</t>
  </si>
  <si>
    <t>cotas</t>
  </si>
  <si>
    <t>AAsC</t>
  </si>
  <si>
    <t>TIEMPO DE CONCENTRACION</t>
  </si>
  <si>
    <t>Usando la formula:</t>
  </si>
  <si>
    <t>tiempo de concentracion en horas</t>
  </si>
  <si>
    <t>S=</t>
  </si>
  <si>
    <t>pendiente del cause principal</t>
  </si>
  <si>
    <t>L=</t>
  </si>
  <si>
    <t>longitud del cause principal en m</t>
  </si>
  <si>
    <t>Para</t>
  </si>
  <si>
    <t>Tc=</t>
  </si>
  <si>
    <t>minutos</t>
  </si>
  <si>
    <t>1.50´:</t>
  </si>
  <si>
    <t>Perimetro cuenca</t>
  </si>
  <si>
    <t>Area</t>
  </si>
  <si>
    <t>Duración (t) en minutos</t>
  </si>
  <si>
    <t>T= 5 años</t>
  </si>
  <si>
    <t>T= 10 años</t>
  </si>
  <si>
    <t>T= 20 años</t>
  </si>
  <si>
    <t>T= 50 años</t>
  </si>
  <si>
    <t>Item</t>
  </si>
  <si>
    <t>Microcuenca</t>
  </si>
  <si>
    <r>
      <t>Área (Km</t>
    </r>
    <r>
      <rPr>
        <b/>
        <vertAlign val="superscript"/>
        <sz val="10"/>
        <color rgb="FF000000"/>
        <rFont val="Cambria"/>
        <family val="1"/>
      </rPr>
      <t>2</t>
    </r>
    <r>
      <rPr>
        <b/>
        <sz val="10"/>
        <color rgb="FF000000"/>
        <rFont val="Cambria"/>
        <family val="1"/>
      </rPr>
      <t>)</t>
    </r>
  </si>
  <si>
    <t>Perímetro (Km)</t>
  </si>
  <si>
    <t>Lc (Km)</t>
  </si>
  <si>
    <t>Pendiente m/m</t>
  </si>
  <si>
    <t>TC-Kirpich</t>
  </si>
  <si>
    <t>TC-B-W</t>
  </si>
  <si>
    <t>Cuerpo de Ingenieros</t>
  </si>
  <si>
    <r>
      <t>Área (km</t>
    </r>
    <r>
      <rPr>
        <b/>
        <vertAlign val="superscript"/>
        <sz val="11"/>
        <color theme="1"/>
        <rFont val="Cambria"/>
        <family val="1"/>
      </rPr>
      <t>2</t>
    </r>
    <r>
      <rPr>
        <b/>
        <sz val="11"/>
        <color theme="1"/>
        <rFont val="Cambria"/>
        <family val="1"/>
      </rPr>
      <t>)</t>
    </r>
  </si>
  <si>
    <t>Desnivel H(m)</t>
  </si>
  <si>
    <t>Longitud del cauce L (Km)</t>
  </si>
  <si>
    <t>Pendiente S (m/m)</t>
  </si>
  <si>
    <t>Tiempo de concentración (horas)</t>
  </si>
  <si>
    <t>Tiempo horas</t>
  </si>
  <si>
    <r>
      <t>Gasto unitario m</t>
    </r>
    <r>
      <rPr>
        <b/>
        <vertAlign val="superscript"/>
        <sz val="11"/>
        <color theme="1"/>
        <rFont val="Cambria"/>
        <family val="1"/>
      </rPr>
      <t>3</t>
    </r>
    <r>
      <rPr>
        <b/>
        <sz val="11"/>
        <color theme="1"/>
        <rFont val="Cambria"/>
        <family val="1"/>
      </rPr>
      <t>/s mm/km</t>
    </r>
    <r>
      <rPr>
        <b/>
        <vertAlign val="superscript"/>
        <sz val="11"/>
        <color theme="1"/>
        <rFont val="Cambria"/>
        <family val="1"/>
      </rPr>
      <t>2</t>
    </r>
  </si>
  <si>
    <t>Número de curva N</t>
  </si>
  <si>
    <t>Altura de lluvia PP (mm)</t>
  </si>
  <si>
    <t>Escorrentía Q (mm)</t>
  </si>
  <si>
    <r>
      <t>Caudal máximo (m</t>
    </r>
    <r>
      <rPr>
        <b/>
        <vertAlign val="superscript"/>
        <sz val="11"/>
        <color theme="1"/>
        <rFont val="Cambria"/>
        <family val="1"/>
      </rPr>
      <t>3</t>
    </r>
    <r>
      <rPr>
        <b/>
        <sz val="11"/>
        <color theme="1"/>
        <rFont val="Cambria"/>
        <family val="1"/>
      </rPr>
      <t>/s)</t>
    </r>
  </si>
  <si>
    <t>Tiempo de retraso tr</t>
  </si>
  <si>
    <t>Tiempo pico tp</t>
  </si>
  <si>
    <t>Tiempo base</t>
  </si>
  <si>
    <r>
      <t>t</t>
    </r>
    <r>
      <rPr>
        <vertAlign val="subscript"/>
        <sz val="10"/>
        <color theme="1"/>
        <rFont val="Century Gothic"/>
        <family val="2"/>
      </rPr>
      <t>b</t>
    </r>
    <r>
      <rPr>
        <sz val="10"/>
        <color theme="1"/>
        <rFont val="Century Gothic"/>
        <family val="2"/>
      </rPr>
      <t>= 2.67 tp</t>
    </r>
  </si>
  <si>
    <t>Tiempo (hrs)</t>
  </si>
  <si>
    <t>Chinquillay</t>
  </si>
  <si>
    <t>Abancay</t>
  </si>
  <si>
    <t>Curahuasi</t>
  </si>
  <si>
    <t>Andahuaylas</t>
  </si>
  <si>
    <t>Chalhuanca</t>
  </si>
  <si>
    <t>Año</t>
  </si>
  <si>
    <t>PP Max. 24 horas</t>
  </si>
  <si>
    <t>MAX</t>
  </si>
  <si>
    <t>PROMEDIO</t>
  </si>
  <si>
    <t>MIN</t>
  </si>
  <si>
    <t>D.E</t>
  </si>
  <si>
    <t>Estación</t>
  </si>
  <si>
    <t>Altitud</t>
  </si>
  <si>
    <t>PP. 24 Horas</t>
  </si>
  <si>
    <t>29.40</t>
  </si>
  <si>
    <t xml:space="preserve">DISTRIBUCIÓN </t>
  </si>
  <si>
    <t>DELTA</t>
  </si>
  <si>
    <t>Normal</t>
  </si>
  <si>
    <t>Gumbel</t>
  </si>
  <si>
    <t>Log Normal de III Parámetros</t>
  </si>
  <si>
    <t>Gamma de 2 parámetros</t>
  </si>
  <si>
    <t>Pearson tipo III</t>
  </si>
  <si>
    <t>n</t>
  </si>
  <si>
    <t>α</t>
  </si>
  <si>
    <t>Dt</t>
  </si>
  <si>
    <r>
      <t>Caudal (m</t>
    </r>
    <r>
      <rPr>
        <b/>
        <vertAlign val="superscript"/>
        <sz val="11"/>
        <color theme="1"/>
        <rFont val="Cambria"/>
        <family val="1"/>
      </rPr>
      <t>3</t>
    </r>
    <r>
      <rPr>
        <b/>
        <sz val="11"/>
        <color theme="1"/>
        <rFont val="Cambria"/>
        <family val="1"/>
      </rPr>
      <t>/s)</t>
    </r>
  </si>
  <si>
    <t>SUMATORIA</t>
  </si>
  <si>
    <t>Altitud (msnm)(1)</t>
  </si>
  <si>
    <t>% del total [(2)/Area total]*100   (5)</t>
  </si>
  <si>
    <t>% del Total que queda sobre la altitud [(4)/Area total] *100  (6)</t>
  </si>
  <si>
    <r>
      <t>m</t>
    </r>
    <r>
      <rPr>
        <vertAlign val="superscript"/>
        <sz val="10"/>
        <rFont val="Cambria"/>
        <family val="1"/>
      </rPr>
      <t>2</t>
    </r>
  </si>
  <si>
    <r>
      <t>Km</t>
    </r>
    <r>
      <rPr>
        <vertAlign val="superscript"/>
        <sz val="10"/>
        <rFont val="Cambria"/>
        <family val="1"/>
      </rPr>
      <t>2</t>
    </r>
  </si>
  <si>
    <t>a</t>
  </si>
  <si>
    <t>e</t>
  </si>
  <si>
    <t>axe</t>
  </si>
  <si>
    <t>Cálculo del factor de Forma</t>
  </si>
  <si>
    <t>AREA KM2</t>
  </si>
  <si>
    <t>PERIMETRO KM</t>
  </si>
  <si>
    <t>LONG RIO</t>
  </si>
  <si>
    <t>COTA MIN</t>
  </si>
  <si>
    <t>COTA MAX</t>
  </si>
  <si>
    <t>PENDIENTE %</t>
  </si>
  <si>
    <t>Microcuenca Chinquillay</t>
  </si>
  <si>
    <t>F</t>
  </si>
  <si>
    <t>Microcuenca Parcco</t>
  </si>
  <si>
    <t>Coeficiente de compacidad</t>
  </si>
  <si>
    <t>EQUIVALENTE(para la obtencion de la pendiente de la cuenca)</t>
  </si>
  <si>
    <t>Cálculo del lado mayor</t>
  </si>
  <si>
    <t>Área=</t>
  </si>
  <si>
    <t>km2</t>
  </si>
  <si>
    <t>Perímetro=</t>
  </si>
  <si>
    <t>Cálculo del lado menor</t>
  </si>
  <si>
    <t>l=</t>
  </si>
  <si>
    <r>
      <t>A (Km</t>
    </r>
    <r>
      <rPr>
        <b/>
        <vertAlign val="superscript"/>
        <sz val="10"/>
        <rFont val="Arial"/>
        <family val="2"/>
      </rPr>
      <t>2</t>
    </r>
    <r>
      <rPr>
        <b/>
        <sz val="10"/>
        <rFont val="Arial"/>
        <family val="2"/>
      </rPr>
      <t>)</t>
    </r>
  </si>
  <si>
    <t>Li (Km)</t>
  </si>
  <si>
    <t>Pendiente de la cuenca</t>
  </si>
  <si>
    <t>Cota máxima</t>
  </si>
  <si>
    <t>Cota mínima</t>
  </si>
  <si>
    <t>Diferencia</t>
  </si>
  <si>
    <t>Densidad de drenaje</t>
  </si>
  <si>
    <t>km</t>
  </si>
  <si>
    <t>Extensión media de escurrimiento</t>
  </si>
  <si>
    <t>Coeficiente de torrencialidad</t>
  </si>
  <si>
    <t>Parámetros</t>
  </si>
  <si>
    <t>Unidad</t>
  </si>
  <si>
    <t>Elevación media (msnm)</t>
  </si>
  <si>
    <t>Coeficiente de compacidad (Kc)</t>
  </si>
  <si>
    <t>Factor de forma (Kf)</t>
  </si>
  <si>
    <t>Longitud del cauce (Km)</t>
  </si>
  <si>
    <t>Longitud total del cauce (Km)</t>
  </si>
  <si>
    <t>Orden de rios</t>
  </si>
  <si>
    <t>Extensión media de escurrimiento (m)</t>
  </si>
  <si>
    <t>Áreas parciales (Km²)(2)</t>
  </si>
  <si>
    <t>Áreas  acumuladas (km²)(3)</t>
  </si>
  <si>
    <t>Áreas que quedan sobre las alturas (km²) (4)</t>
  </si>
  <si>
    <t>Altitud máxima del cauce (msnm)</t>
  </si>
  <si>
    <t>Altitud mínima del cauce (msnm)</t>
  </si>
  <si>
    <t>Pendiente del cauce principal (%)</t>
  </si>
  <si>
    <t>N°</t>
  </si>
  <si>
    <t>Descripción</t>
  </si>
  <si>
    <t>Longitud de cauce (m)</t>
  </si>
  <si>
    <t>Máxima</t>
  </si>
  <si>
    <t>Mínima</t>
  </si>
  <si>
    <t>Desnivel (m)</t>
  </si>
  <si>
    <t>Pendiente (m/m)</t>
  </si>
  <si>
    <t>Tiempo de concentración (horas</t>
  </si>
  <si>
    <t>Kirpich</t>
  </si>
  <si>
    <t>Temez</t>
  </si>
  <si>
    <t>Promedio</t>
  </si>
  <si>
    <t>Bransby</t>
  </si>
  <si>
    <t>Microcuenca Yanaccocha-Peruanita</t>
  </si>
  <si>
    <r>
      <t>Área (Km</t>
    </r>
    <r>
      <rPr>
        <b/>
        <vertAlign val="superscript"/>
        <sz val="10"/>
        <rFont val="Cambria"/>
        <family val="1"/>
      </rPr>
      <t>2</t>
    </r>
    <r>
      <rPr>
        <b/>
        <sz val="10"/>
        <rFont val="Cambria"/>
        <family val="1"/>
      </rPr>
      <t>)</t>
    </r>
  </si>
  <si>
    <t>Cota (msnm)</t>
  </si>
  <si>
    <t>ITEM</t>
  </si>
  <si>
    <t>Tiempo de concentración Tc (horas)</t>
  </si>
  <si>
    <t>Tiempo de retraso Tr (horas)</t>
  </si>
  <si>
    <t>Tiempo pico Tp (horas)</t>
  </si>
  <si>
    <t>Tiempo Tb (horas)</t>
  </si>
  <si>
    <t>Número de Curva CN</t>
  </si>
  <si>
    <t>T=5</t>
  </si>
  <si>
    <t>T=10</t>
  </si>
  <si>
    <t>T=25</t>
  </si>
  <si>
    <t>T=50</t>
  </si>
  <si>
    <t>T=100</t>
  </si>
  <si>
    <t>T=250</t>
  </si>
  <si>
    <t>T=500</t>
  </si>
  <si>
    <r>
      <t>Área A (Km</t>
    </r>
    <r>
      <rPr>
        <b/>
        <vertAlign val="superscript"/>
        <sz val="10"/>
        <rFont val="Cambria"/>
        <family val="1"/>
      </rPr>
      <t>2</t>
    </r>
    <r>
      <rPr>
        <b/>
        <sz val="10"/>
        <rFont val="Cambria"/>
        <family val="1"/>
      </rPr>
      <t>)</t>
    </r>
  </si>
  <si>
    <r>
      <t>Caudal máximo (m</t>
    </r>
    <r>
      <rPr>
        <b/>
        <vertAlign val="superscript"/>
        <sz val="10"/>
        <rFont val="Cambria"/>
        <family val="1"/>
      </rPr>
      <t>3</t>
    </r>
    <r>
      <rPr>
        <b/>
        <sz val="10"/>
        <rFont val="Cambria"/>
        <family val="1"/>
      </rPr>
      <t>/seg)</t>
    </r>
  </si>
  <si>
    <t>Duración D (min)</t>
  </si>
  <si>
    <t>T=20 años</t>
  </si>
  <si>
    <t>T= 100 años</t>
  </si>
  <si>
    <t>T= 250 años</t>
  </si>
  <si>
    <t>T= 500 años</t>
  </si>
  <si>
    <t>T= 1000 años</t>
  </si>
  <si>
    <t>tb= 2.67 tp</t>
  </si>
  <si>
    <r>
      <t>Caudal unitario (m</t>
    </r>
    <r>
      <rPr>
        <b/>
        <vertAlign val="superscript"/>
        <sz val="10"/>
        <rFont val="Cambria"/>
        <family val="1"/>
      </rPr>
      <t>3</t>
    </r>
    <r>
      <rPr>
        <b/>
        <sz val="10"/>
        <rFont val="Cambria"/>
        <family val="1"/>
      </rPr>
      <t>/s/mm)</t>
    </r>
  </si>
  <si>
    <t>T=1000</t>
  </si>
  <si>
    <t>m2</t>
  </si>
  <si>
    <t>1km2</t>
  </si>
  <si>
    <t>1ha</t>
  </si>
  <si>
    <r>
      <t>Q</t>
    </r>
    <r>
      <rPr>
        <vertAlign val="subscript"/>
        <sz val="10"/>
        <rFont val="Century Gothic"/>
        <family val="2"/>
      </rPr>
      <t>max</t>
    </r>
    <r>
      <rPr>
        <sz val="10"/>
        <rFont val="Century Gothic"/>
        <family val="2"/>
      </rPr>
      <t xml:space="preserve"> = qp x Pe</t>
    </r>
  </si>
  <si>
    <t>Qmax=</t>
  </si>
  <si>
    <t>pe=</t>
  </si>
  <si>
    <t>Cálculo de la precipitación efectiva para una duración de 50 minutos</t>
  </si>
  <si>
    <t>Tiempo</t>
  </si>
  <si>
    <t>T=5 años</t>
  </si>
  <si>
    <t>T=10 años</t>
  </si>
  <si>
    <t>T=25 años</t>
  </si>
  <si>
    <t>T=50 años</t>
  </si>
  <si>
    <t>T=100 años</t>
  </si>
  <si>
    <t>T=250 años</t>
  </si>
  <si>
    <t>T=500 años</t>
  </si>
  <si>
    <t>T=1000 años</t>
  </si>
  <si>
    <t>Hidrograma Triangular microcuenca Parcco para un TR=250 Años</t>
  </si>
  <si>
    <t>Hidrograma Triangular microcuenca Chinquillay para un TR=250 Años</t>
  </si>
  <si>
    <t>Hidrograma Triangular microcuenca Yanaccocha-Peruanita para un TR=250 Años</t>
  </si>
  <si>
    <t>60´</t>
  </si>
  <si>
    <t>Descargas máximas - Método del Hidrograma Unitario Triangular</t>
  </si>
  <si>
    <t xml:space="preserve"> </t>
  </si>
  <si>
    <t xml:space="preserve">TABULACI0N PARA LA OBTENCION DE CURVA HIPSOMETRICA, FRECUENCIA DE ALTITUDES Y RECTANGULO </t>
  </si>
  <si>
    <t>Lado mayor</t>
  </si>
  <si>
    <t>Lado menor</t>
  </si>
  <si>
    <t>Pendiente media de la Unidad Hidrográfica (%)</t>
  </si>
  <si>
    <t>Perímetro (P) Km</t>
  </si>
  <si>
    <t>Lado mayor rectángulo equivalente (Km)</t>
  </si>
  <si>
    <t>Lado menor rectángulo equivalente (Km)</t>
  </si>
  <si>
    <t>Área de la cuenca (A) Km2</t>
  </si>
  <si>
    <t>Unidad Hidrografica</t>
  </si>
  <si>
    <t xml:space="preserve">Unidad Hidrografica </t>
  </si>
  <si>
    <t>Ancho promedio de la cuenca</t>
  </si>
  <si>
    <t>Alargada</t>
  </si>
  <si>
    <t>Altitud media de la microcuenca CHALHUANCA (msnm)</t>
  </si>
  <si>
    <t>PARAMETRO MORFOMETRICOS UH CHALHUANCA</t>
  </si>
  <si>
    <t>CHALHUANCA</t>
  </si>
  <si>
    <t>UH CHALHUANCA</t>
  </si>
  <si>
    <t>K CHALHUANCA</t>
  </si>
  <si>
    <t>Dd CHALHUANCA</t>
  </si>
  <si>
    <t>CHALHUANCA Long. Total de cauce=</t>
  </si>
  <si>
    <t>d  CHALHUANCA</t>
  </si>
  <si>
    <t>Ct CHALHUANCA</t>
  </si>
  <si>
    <t>Parámetros geomorfológicos de la unidad hidrografica CHALHUANCA</t>
  </si>
  <si>
    <t>Sexto Orden</t>
  </si>
  <si>
    <t>Tiempo de concentración (minutos)</t>
  </si>
  <si>
    <t>Ancho promedio de la cuenca (km).</t>
  </si>
  <si>
    <t>Unidad hidrográfica del río Chalhuanca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</si>
</sst>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"/>
  </numFmts>
  <fonts count="42" x14ac:knownFonts="1">
    <font>
      <sz val="10"/>
      <name val="Arial"/>
    </font>
    <font>
      <sz val="11"/>
      <color theme="1"/>
      <name val="Calibri"/>
      <family val="2"/>
      <scheme val="minor"/>
    </font>
    <font>
      <sz val="8"/>
      <name val="Arial"/>
      <family val="2"/>
    </font>
    <font>
      <b/>
      <sz val="10"/>
      <name val="Arial"/>
      <family val="2"/>
    </font>
    <font>
      <sz val="10"/>
      <color indexed="9"/>
      <name val="Arial"/>
      <family val="2"/>
    </font>
    <font>
      <sz val="12"/>
      <name val="Arial"/>
      <family val="2"/>
    </font>
    <font>
      <sz val="12"/>
      <color indexed="9"/>
      <name val="Arial"/>
      <family val="2"/>
    </font>
    <font>
      <sz val="10"/>
      <name val="Arial"/>
      <family val="2"/>
    </font>
    <font>
      <b/>
      <sz val="11"/>
      <color rgb="FF3F3F3F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1"/>
      <name val="Cambria"/>
      <family val="1"/>
    </font>
    <font>
      <sz val="11"/>
      <color theme="1"/>
      <name val="Cambria"/>
      <family val="1"/>
    </font>
    <font>
      <b/>
      <sz val="10"/>
      <color rgb="FF000000"/>
      <name val="Cambria"/>
      <family val="1"/>
    </font>
    <font>
      <b/>
      <vertAlign val="superscript"/>
      <sz val="10"/>
      <color rgb="FF000000"/>
      <name val="Cambria"/>
      <family val="1"/>
    </font>
    <font>
      <sz val="10"/>
      <color rgb="FF000000"/>
      <name val="Cambria"/>
      <family val="1"/>
    </font>
    <font>
      <b/>
      <vertAlign val="superscript"/>
      <sz val="11"/>
      <color theme="1"/>
      <name val="Cambria"/>
      <family val="1"/>
    </font>
    <font>
      <sz val="10"/>
      <color theme="1"/>
      <name val="Century Gothic"/>
      <family val="2"/>
    </font>
    <font>
      <vertAlign val="subscript"/>
      <sz val="10"/>
      <color theme="1"/>
      <name val="Century Gothic"/>
      <family val="2"/>
    </font>
    <font>
      <b/>
      <sz val="11"/>
      <color theme="1"/>
      <name val="Calibri Light"/>
      <family val="1"/>
      <scheme val="major"/>
    </font>
    <font>
      <sz val="11"/>
      <color theme="1"/>
      <name val="Calibri Light"/>
      <family val="1"/>
      <scheme val="major"/>
    </font>
    <font>
      <b/>
      <sz val="10"/>
      <color theme="1"/>
      <name val="Calibri Light"/>
      <family val="1"/>
      <scheme val="major"/>
    </font>
    <font>
      <sz val="10"/>
      <color theme="1"/>
      <name val="Calibri Light"/>
      <family val="1"/>
      <scheme val="major"/>
    </font>
    <font>
      <sz val="12"/>
      <color theme="1"/>
      <name val="Cambria"/>
      <family val="1"/>
    </font>
    <font>
      <sz val="11"/>
      <color theme="1"/>
      <name val="Calibri"/>
      <family val="2"/>
    </font>
    <font>
      <b/>
      <sz val="11"/>
      <color theme="1"/>
      <name val="Calibri Light"/>
      <family val="2"/>
      <scheme val="major"/>
    </font>
    <font>
      <sz val="10"/>
      <name val="Cambria"/>
      <family val="1"/>
    </font>
    <font>
      <b/>
      <sz val="10"/>
      <name val="Cambria"/>
      <family val="1"/>
    </font>
    <font>
      <vertAlign val="superscript"/>
      <sz val="10"/>
      <name val="Cambria"/>
      <family val="1"/>
    </font>
    <font>
      <sz val="10"/>
      <color theme="1"/>
      <name val="Cambria"/>
      <family val="1"/>
    </font>
    <font>
      <b/>
      <i/>
      <sz val="10"/>
      <name val="Cambria"/>
      <family val="1"/>
    </font>
    <font>
      <b/>
      <sz val="10.5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1"/>
      <color theme="1" tint="4.9989318521683403E-2"/>
      <name val="Calibri"/>
      <family val="2"/>
      <scheme val="minor"/>
    </font>
    <font>
      <b/>
      <vertAlign val="superscript"/>
      <sz val="10"/>
      <name val="Arial"/>
      <family val="2"/>
    </font>
    <font>
      <b/>
      <vertAlign val="superscript"/>
      <sz val="10"/>
      <name val="Cambria"/>
      <family val="1"/>
    </font>
    <font>
      <sz val="12"/>
      <name val="Cambria"/>
      <family val="1"/>
    </font>
    <font>
      <sz val="10"/>
      <name val="Century Gothic"/>
      <family val="2"/>
    </font>
    <font>
      <vertAlign val="subscript"/>
      <sz val="10"/>
      <name val="Century Gothic"/>
      <family val="2"/>
    </font>
    <font>
      <b/>
      <u/>
      <sz val="20"/>
      <name val="Cambria"/>
      <family val="1"/>
    </font>
    <font>
      <b/>
      <sz val="10"/>
      <color theme="1"/>
      <name val="Arial Narrow"/>
      <family val="2"/>
    </font>
    <font>
      <sz val="10"/>
      <name val="Arial Narrow"/>
      <family val="2"/>
    </font>
    <font>
      <b/>
      <sz val="10"/>
      <name val="Arial Narrow"/>
      <family val="2"/>
    </font>
  </fonts>
  <fills count="24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rgb="FFF2F2F2"/>
      </patternFill>
    </fill>
    <fill>
      <patternFill patternType="solid">
        <fgColor theme="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4.9989318521683403E-2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0" fontId="9" fillId="7" borderId="0" applyNumberFormat="0" applyBorder="0" applyAlignment="0" applyProtection="0"/>
    <xf numFmtId="0" fontId="8" fillId="6" borderId="3" applyNumberFormat="0" applyAlignment="0" applyProtection="0"/>
    <xf numFmtId="0" fontId="1" fillId="12" borderId="0" applyNumberFormat="0" applyBorder="0" applyAlignment="0" applyProtection="0"/>
  </cellStyleXfs>
  <cellXfs count="167">
    <xf numFmtId="0" fontId="0" fillId="0" borderId="0" xfId="0"/>
    <xf numFmtId="0" fontId="3" fillId="0" borderId="0" xfId="0" applyFont="1"/>
    <xf numFmtId="2" fontId="0" fillId="0" borderId="0" xfId="0" applyNumberFormat="1"/>
    <xf numFmtId="2" fontId="4" fillId="0" borderId="0" xfId="0" applyNumberFormat="1" applyFont="1"/>
    <xf numFmtId="0" fontId="4" fillId="0" borderId="0" xfId="0" applyFont="1"/>
    <xf numFmtId="0" fontId="4" fillId="0" borderId="0" xfId="0" applyFont="1" applyBorder="1"/>
    <xf numFmtId="2" fontId="4" fillId="0" borderId="0" xfId="0" applyNumberFormat="1" applyFont="1" applyBorder="1"/>
    <xf numFmtId="0" fontId="0" fillId="4" borderId="0" xfId="0" applyFill="1"/>
    <xf numFmtId="0" fontId="5" fillId="0" borderId="0" xfId="0" applyFont="1"/>
    <xf numFmtId="0" fontId="6" fillId="0" borderId="0" xfId="0" applyFont="1"/>
    <xf numFmtId="2" fontId="6" fillId="0" borderId="0" xfId="0" applyNumberFormat="1" applyFont="1"/>
    <xf numFmtId="0" fontId="7" fillId="0" borderId="0" xfId="0" applyFont="1"/>
    <xf numFmtId="0" fontId="4" fillId="0" borderId="0" xfId="0" applyFont="1" applyAlignment="1">
      <alignment horizontal="center"/>
    </xf>
    <xf numFmtId="2" fontId="4" fillId="0" borderId="0" xfId="0" applyNumberFormat="1" applyFont="1" applyBorder="1" applyAlignment="1">
      <alignment horizontal="center"/>
    </xf>
    <xf numFmtId="0" fontId="10" fillId="8" borderId="1" xfId="0" applyFont="1" applyFill="1" applyBorder="1" applyAlignment="1">
      <alignment wrapText="1"/>
    </xf>
    <xf numFmtId="0" fontId="10" fillId="8" borderId="1" xfId="0" applyFont="1" applyFill="1" applyBorder="1"/>
    <xf numFmtId="0" fontId="11" fillId="0" borderId="1" xfId="0" applyFont="1" applyBorder="1" applyAlignment="1">
      <alignment horizontal="center"/>
    </xf>
    <xf numFmtId="0" fontId="11" fillId="0" borderId="1" xfId="0" applyFont="1" applyBorder="1"/>
    <xf numFmtId="0" fontId="12" fillId="9" borderId="1" xfId="0" applyFont="1" applyFill="1" applyBorder="1" applyAlignment="1">
      <alignment horizontal="center" vertical="center"/>
    </xf>
    <xf numFmtId="0" fontId="12" fillId="9" borderId="1" xfId="0" applyFont="1" applyFill="1" applyBorder="1" applyAlignment="1">
      <alignment horizontal="center" vertical="center" wrapText="1"/>
    </xf>
    <xf numFmtId="0" fontId="14" fillId="0" borderId="1" xfId="0" applyFont="1" applyBorder="1" applyAlignment="1">
      <alignment horizontal="center" vertical="center"/>
    </xf>
    <xf numFmtId="49" fontId="11" fillId="0" borderId="1" xfId="0" applyNumberFormat="1" applyFont="1" applyBorder="1"/>
    <xf numFmtId="2" fontId="11" fillId="0" borderId="1" xfId="0" applyNumberFormat="1" applyFont="1" applyBorder="1" applyAlignment="1">
      <alignment horizontal="center" vertical="center"/>
    </xf>
    <xf numFmtId="2" fontId="11" fillId="0" borderId="1" xfId="0" applyNumberFormat="1" applyFont="1" applyBorder="1" applyAlignment="1">
      <alignment horizontal="center"/>
    </xf>
    <xf numFmtId="0" fontId="10" fillId="10" borderId="1" xfId="0" applyFont="1" applyFill="1" applyBorder="1" applyAlignment="1">
      <alignment horizontal="center" wrapText="1"/>
    </xf>
    <xf numFmtId="0" fontId="11" fillId="0" borderId="0" xfId="0" applyFont="1"/>
    <xf numFmtId="0" fontId="16" fillId="0" borderId="0" xfId="0" applyFont="1" applyAlignment="1">
      <alignment horizontal="justify" vertical="center"/>
    </xf>
    <xf numFmtId="0" fontId="18" fillId="11" borderId="1" xfId="0" applyFont="1" applyFill="1" applyBorder="1" applyAlignment="1">
      <alignment horizontal="center"/>
    </xf>
    <xf numFmtId="0" fontId="18" fillId="11" borderId="1" xfId="0" applyFont="1" applyFill="1" applyBorder="1" applyAlignment="1">
      <alignment horizontal="center" wrapText="1"/>
    </xf>
    <xf numFmtId="0" fontId="19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/>
    </xf>
    <xf numFmtId="0" fontId="19" fillId="0" borderId="2" xfId="0" applyFont="1" applyBorder="1" applyAlignment="1">
      <alignment horizontal="center"/>
    </xf>
    <xf numFmtId="0" fontId="19" fillId="0" borderId="2" xfId="0" applyFont="1" applyBorder="1" applyAlignment="1">
      <alignment horizontal="center" vertical="center"/>
    </xf>
    <xf numFmtId="2" fontId="18" fillId="0" borderId="1" xfId="0" applyNumberFormat="1" applyFont="1" applyBorder="1" applyAlignment="1">
      <alignment horizontal="center"/>
    </xf>
    <xf numFmtId="2" fontId="19" fillId="0" borderId="1" xfId="0" applyNumberFormat="1" applyFont="1" applyBorder="1" applyAlignment="1">
      <alignment horizontal="center"/>
    </xf>
    <xf numFmtId="0" fontId="19" fillId="0" borderId="0" xfId="0" applyFont="1"/>
    <xf numFmtId="0" fontId="20" fillId="8" borderId="1" xfId="0" applyFont="1" applyFill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19" fillId="0" borderId="0" xfId="0" applyFont="1" applyBorder="1"/>
    <xf numFmtId="0" fontId="21" fillId="0" borderId="0" xfId="0" applyFont="1" applyBorder="1" applyAlignment="1">
      <alignment horizontal="center" vertical="center"/>
    </xf>
    <xf numFmtId="0" fontId="18" fillId="8" borderId="1" xfId="0" applyFont="1" applyFill="1" applyBorder="1"/>
    <xf numFmtId="0" fontId="19" fillId="0" borderId="1" xfId="0" applyFont="1" applyBorder="1"/>
    <xf numFmtId="0" fontId="23" fillId="0" borderId="1" xfId="0" applyFont="1" applyBorder="1" applyAlignment="1">
      <alignment horizontal="center"/>
    </xf>
    <xf numFmtId="0" fontId="10" fillId="6" borderId="3" xfId="2" applyFont="1" applyAlignment="1">
      <alignment horizontal="center"/>
    </xf>
    <xf numFmtId="2" fontId="10" fillId="6" borderId="3" xfId="2" applyNumberFormat="1" applyFont="1" applyAlignment="1">
      <alignment horizontal="center"/>
    </xf>
    <xf numFmtId="0" fontId="10" fillId="7" borderId="3" xfId="1" applyFont="1" applyBorder="1" applyAlignment="1">
      <alignment horizontal="center"/>
    </xf>
    <xf numFmtId="0" fontId="10" fillId="7" borderId="3" xfId="1" applyFont="1" applyBorder="1" applyAlignment="1">
      <alignment horizontal="center" wrapText="1"/>
    </xf>
    <xf numFmtId="0" fontId="24" fillId="0" borderId="1" xfId="0" applyFont="1" applyBorder="1" applyAlignment="1">
      <alignment horizontal="center"/>
    </xf>
    <xf numFmtId="0" fontId="25" fillId="3" borderId="0" xfId="0" applyFont="1" applyFill="1"/>
    <xf numFmtId="0" fontId="25" fillId="0" borderId="0" xfId="0" applyFont="1"/>
    <xf numFmtId="0" fontId="26" fillId="0" borderId="0" xfId="0" applyFont="1"/>
    <xf numFmtId="0" fontId="26" fillId="4" borderId="0" xfId="0" applyFont="1" applyFill="1"/>
    <xf numFmtId="0" fontId="25" fillId="4" borderId="0" xfId="0" applyFont="1" applyFill="1"/>
    <xf numFmtId="2" fontId="25" fillId="0" borderId="0" xfId="0" applyNumberFormat="1" applyFont="1" applyFill="1" applyBorder="1" applyAlignment="1">
      <alignment horizontal="center"/>
    </xf>
    <xf numFmtId="2" fontId="25" fillId="0" borderId="0" xfId="0" applyNumberFormat="1" applyFont="1"/>
    <xf numFmtId="164" fontId="25" fillId="0" borderId="0" xfId="0" applyNumberFormat="1" applyFont="1"/>
    <xf numFmtId="0" fontId="26" fillId="2" borderId="0" xfId="0" applyFont="1" applyFill="1"/>
    <xf numFmtId="2" fontId="25" fillId="2" borderId="0" xfId="0" applyNumberFormat="1" applyFont="1" applyFill="1"/>
    <xf numFmtId="0" fontId="25" fillId="2" borderId="0" xfId="0" applyFont="1" applyFill="1"/>
    <xf numFmtId="0" fontId="26" fillId="5" borderId="0" xfId="0" applyFont="1" applyFill="1"/>
    <xf numFmtId="0" fontId="25" fillId="5" borderId="0" xfId="0" applyFont="1" applyFill="1"/>
    <xf numFmtId="0" fontId="25" fillId="0" borderId="1" xfId="0" applyFont="1" applyBorder="1"/>
    <xf numFmtId="0" fontId="25" fillId="0" borderId="4" xfId="0" applyFont="1" applyBorder="1"/>
    <xf numFmtId="0" fontId="29" fillId="0" borderId="4" xfId="0" applyFont="1" applyBorder="1" applyAlignment="1">
      <alignment vertical="justify"/>
    </xf>
    <xf numFmtId="2" fontId="25" fillId="0" borderId="4" xfId="0" applyNumberFormat="1" applyFont="1" applyBorder="1" applyAlignment="1">
      <alignment horizontal="center"/>
    </xf>
    <xf numFmtId="165" fontId="25" fillId="0" borderId="1" xfId="0" applyNumberFormat="1" applyFont="1" applyBorder="1"/>
    <xf numFmtId="2" fontId="25" fillId="0" borderId="0" xfId="0" applyNumberFormat="1" applyFont="1" applyAlignment="1">
      <alignment horizontal="center"/>
    </xf>
    <xf numFmtId="164" fontId="29" fillId="0" borderId="0" xfId="0" applyNumberFormat="1" applyFont="1"/>
    <xf numFmtId="2" fontId="26" fillId="0" borderId="0" xfId="0" applyNumberFormat="1" applyFont="1"/>
    <xf numFmtId="0" fontId="29" fillId="0" borderId="0" xfId="0" applyFont="1"/>
    <xf numFmtId="0" fontId="25" fillId="0" borderId="0" xfId="0" applyFont="1" applyFill="1"/>
    <xf numFmtId="0" fontId="26" fillId="0" borderId="0" xfId="0" applyFont="1" applyFill="1"/>
    <xf numFmtId="164" fontId="25" fillId="0" borderId="0" xfId="0" applyNumberFormat="1" applyFont="1" applyFill="1"/>
    <xf numFmtId="164" fontId="26" fillId="4" borderId="0" xfId="0" applyNumberFormat="1" applyFont="1" applyFill="1"/>
    <xf numFmtId="0" fontId="26" fillId="3" borderId="0" xfId="0" applyFont="1" applyFill="1"/>
    <xf numFmtId="0" fontId="29" fillId="0" borderId="1" xfId="0" applyFont="1" applyBorder="1" applyAlignment="1">
      <alignment vertical="justify"/>
    </xf>
    <xf numFmtId="0" fontId="29" fillId="5" borderId="0" xfId="0" applyFont="1" applyFill="1"/>
    <xf numFmtId="0" fontId="29" fillId="2" borderId="0" xfId="0" applyFont="1" applyFill="1"/>
    <xf numFmtId="0" fontId="25" fillId="0" borderId="5" xfId="0" applyFont="1" applyBorder="1"/>
    <xf numFmtId="0" fontId="25" fillId="0" borderId="5" xfId="0" applyFont="1" applyBorder="1" applyAlignment="1">
      <alignment horizontal="center"/>
    </xf>
    <xf numFmtId="2" fontId="28" fillId="13" borderId="1" xfId="3" applyNumberFormat="1" applyFont="1" applyFill="1" applyBorder="1" applyAlignment="1">
      <alignment horizontal="center" vertical="center" wrapText="1"/>
    </xf>
    <xf numFmtId="2" fontId="25" fillId="13" borderId="1" xfId="0" applyNumberFormat="1" applyFont="1" applyFill="1" applyBorder="1" applyAlignment="1">
      <alignment horizontal="center"/>
    </xf>
    <xf numFmtId="0" fontId="26" fillId="9" borderId="1" xfId="0" applyFont="1" applyFill="1" applyBorder="1" applyAlignment="1">
      <alignment horizontal="center"/>
    </xf>
    <xf numFmtId="2" fontId="26" fillId="9" borderId="1" xfId="0" applyNumberFormat="1" applyFont="1" applyFill="1" applyBorder="1" applyAlignment="1">
      <alignment horizontal="center"/>
    </xf>
    <xf numFmtId="2" fontId="25" fillId="15" borderId="1" xfId="0" applyNumberFormat="1" applyFont="1" applyFill="1" applyBorder="1" applyAlignment="1">
      <alignment horizontal="center"/>
    </xf>
    <xf numFmtId="0" fontId="31" fillId="9" borderId="1" xfId="0" applyFont="1" applyFill="1" applyBorder="1" applyAlignment="1">
      <alignment horizontal="center"/>
    </xf>
    <xf numFmtId="0" fontId="32" fillId="0" borderId="1" xfId="0" applyFont="1" applyFill="1" applyBorder="1" applyAlignment="1">
      <alignment horizontal="center"/>
    </xf>
    <xf numFmtId="2" fontId="32" fillId="0" borderId="1" xfId="0" applyNumberFormat="1" applyFont="1" applyBorder="1"/>
    <xf numFmtId="0" fontId="0" fillId="0" borderId="1" xfId="0" applyBorder="1"/>
    <xf numFmtId="0" fontId="7" fillId="0" borderId="1" xfId="0" applyFont="1" applyBorder="1"/>
    <xf numFmtId="2" fontId="0" fillId="0" borderId="1" xfId="0" applyNumberFormat="1" applyBorder="1" applyAlignment="1">
      <alignment horizontal="center"/>
    </xf>
    <xf numFmtId="0" fontId="3" fillId="18" borderId="1" xfId="0" applyFont="1" applyFill="1" applyBorder="1" applyAlignment="1">
      <alignment horizontal="center"/>
    </xf>
    <xf numFmtId="2" fontId="0" fillId="14" borderId="1" xfId="0" applyNumberFormat="1" applyFill="1" applyBorder="1" applyAlignment="1">
      <alignment horizontal="center"/>
    </xf>
    <xf numFmtId="2" fontId="25" fillId="0" borderId="1" xfId="0" applyNumberFormat="1" applyFont="1" applyBorder="1" applyAlignment="1">
      <alignment horizontal="center"/>
    </xf>
    <xf numFmtId="164" fontId="25" fillId="0" borderId="1" xfId="0" applyNumberFormat="1" applyFont="1" applyBorder="1" applyAlignment="1">
      <alignment horizontal="center"/>
    </xf>
    <xf numFmtId="164" fontId="11" fillId="0" borderId="1" xfId="0" applyNumberFormat="1" applyFont="1" applyBorder="1" applyAlignment="1">
      <alignment horizontal="center" vertical="center"/>
    </xf>
    <xf numFmtId="0" fontId="25" fillId="0" borderId="1" xfId="0" applyFont="1" applyBorder="1" applyAlignment="1">
      <alignment horizontal="center"/>
    </xf>
    <xf numFmtId="0" fontId="26" fillId="19" borderId="1" xfId="0" applyFont="1" applyFill="1" applyBorder="1" applyAlignment="1">
      <alignment horizontal="center" vertical="center"/>
    </xf>
    <xf numFmtId="0" fontId="35" fillId="0" borderId="0" xfId="0" applyFont="1" applyAlignment="1">
      <alignment horizontal="justify" vertical="center"/>
    </xf>
    <xf numFmtId="0" fontId="26" fillId="20" borderId="1" xfId="0" applyFont="1" applyFill="1" applyBorder="1" applyAlignment="1">
      <alignment horizontal="center"/>
    </xf>
    <xf numFmtId="0" fontId="36" fillId="0" borderId="0" xfId="0" applyFont="1" applyAlignment="1">
      <alignment horizontal="justify" vertical="center"/>
    </xf>
    <xf numFmtId="0" fontId="26" fillId="9" borderId="1" xfId="0" applyFont="1" applyFill="1" applyBorder="1" applyAlignment="1">
      <alignment vertical="center" wrapText="1"/>
    </xf>
    <xf numFmtId="0" fontId="26" fillId="9" borderId="1" xfId="0" applyFont="1" applyFill="1" applyBorder="1" applyAlignment="1">
      <alignment vertical="center"/>
    </xf>
    <xf numFmtId="0" fontId="25" fillId="20" borderId="1" xfId="0" applyFont="1" applyFill="1" applyBorder="1" applyAlignment="1">
      <alignment horizontal="center"/>
    </xf>
    <xf numFmtId="0" fontId="25" fillId="21" borderId="1" xfId="0" applyFont="1" applyFill="1" applyBorder="1"/>
    <xf numFmtId="164" fontId="25" fillId="13" borderId="1" xfId="0" applyNumberFormat="1" applyFont="1" applyFill="1" applyBorder="1" applyAlignment="1">
      <alignment horizontal="center"/>
    </xf>
    <xf numFmtId="164" fontId="28" fillId="13" borderId="1" xfId="3" applyNumberFormat="1" applyFont="1" applyFill="1" applyBorder="1" applyAlignment="1">
      <alignment horizontal="center" vertical="center" wrapText="1"/>
    </xf>
    <xf numFmtId="2" fontId="32" fillId="0" borderId="1" xfId="0" applyNumberFormat="1" applyFont="1" applyFill="1" applyBorder="1" applyAlignment="1">
      <alignment horizontal="center"/>
    </xf>
    <xf numFmtId="0" fontId="0" fillId="0" borderId="0" xfId="0" applyFill="1"/>
    <xf numFmtId="0" fontId="0" fillId="0" borderId="0" xfId="0" applyFill="1" applyBorder="1"/>
    <xf numFmtId="0" fontId="31" fillId="0" borderId="0" xfId="0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32" fillId="0" borderId="0" xfId="0" applyFont="1" applyFill="1" applyBorder="1" applyAlignment="1">
      <alignment horizontal="center"/>
    </xf>
    <xf numFmtId="2" fontId="32" fillId="0" borderId="0" xfId="0" applyNumberFormat="1" applyFont="1" applyFill="1" applyBorder="1"/>
    <xf numFmtId="0" fontId="30" fillId="0" borderId="0" xfId="0" applyFont="1" applyFill="1" applyBorder="1" applyAlignment="1"/>
    <xf numFmtId="2" fontId="26" fillId="16" borderId="1" xfId="0" applyNumberFormat="1" applyFont="1" applyFill="1" applyBorder="1" applyAlignment="1">
      <alignment horizontal="center" vertical="center" wrapText="1"/>
    </xf>
    <xf numFmtId="164" fontId="0" fillId="0" borderId="1" xfId="0" applyNumberFormat="1" applyFill="1" applyBorder="1" applyAlignment="1">
      <alignment horizontal="center"/>
    </xf>
    <xf numFmtId="164" fontId="32" fillId="0" borderId="1" xfId="0" applyNumberFormat="1" applyFont="1" applyFill="1" applyBorder="1" applyAlignment="1">
      <alignment horizontal="center"/>
    </xf>
    <xf numFmtId="2" fontId="25" fillId="13" borderId="0" xfId="0" applyNumberFormat="1" applyFont="1" applyFill="1" applyBorder="1" applyAlignment="1">
      <alignment horizontal="center"/>
    </xf>
    <xf numFmtId="164" fontId="25" fillId="15" borderId="1" xfId="0" applyNumberFormat="1" applyFont="1" applyFill="1" applyBorder="1" applyAlignment="1">
      <alignment horizontal="center"/>
    </xf>
    <xf numFmtId="2" fontId="0" fillId="13" borderId="0" xfId="0" applyNumberFormat="1" applyFill="1" applyAlignment="1">
      <alignment horizontal="center"/>
    </xf>
    <xf numFmtId="1" fontId="39" fillId="15" borderId="1" xfId="3" applyNumberFormat="1" applyFont="1" applyFill="1" applyBorder="1" applyAlignment="1">
      <alignment horizontal="center" vertical="center" wrapText="1"/>
    </xf>
    <xf numFmtId="2" fontId="39" fillId="15" borderId="1" xfId="3" applyNumberFormat="1" applyFont="1" applyFill="1" applyBorder="1" applyAlignment="1">
      <alignment horizontal="center" vertical="center" wrapText="1"/>
    </xf>
    <xf numFmtId="0" fontId="39" fillId="15" borderId="1" xfId="3" applyFont="1" applyFill="1" applyBorder="1" applyAlignment="1">
      <alignment horizontal="center" vertical="center" wrapText="1"/>
    </xf>
    <xf numFmtId="2" fontId="40" fillId="23" borderId="1" xfId="3" applyNumberFormat="1" applyFont="1" applyFill="1" applyBorder="1" applyAlignment="1">
      <alignment horizontal="center" vertical="center" wrapText="1"/>
    </xf>
    <xf numFmtId="164" fontId="40" fillId="23" borderId="1" xfId="3" applyNumberFormat="1" applyFont="1" applyFill="1" applyBorder="1" applyAlignment="1">
      <alignment horizontal="center" vertical="center" wrapText="1"/>
    </xf>
    <xf numFmtId="164" fontId="40" fillId="9" borderId="1" xfId="3" applyNumberFormat="1" applyFont="1" applyFill="1" applyBorder="1" applyAlignment="1">
      <alignment horizontal="center" vertical="center" wrapText="1"/>
    </xf>
    <xf numFmtId="2" fontId="40" fillId="9" borderId="1" xfId="3" applyNumberFormat="1" applyFont="1" applyFill="1" applyBorder="1" applyAlignment="1">
      <alignment horizontal="center" vertical="center" wrapText="1"/>
    </xf>
    <xf numFmtId="164" fontId="40" fillId="23" borderId="1" xfId="0" applyNumberFormat="1" applyFont="1" applyFill="1" applyBorder="1" applyAlignment="1">
      <alignment horizontal="center"/>
    </xf>
    <xf numFmtId="164" fontId="40" fillId="9" borderId="1" xfId="2" applyNumberFormat="1" applyFont="1" applyFill="1" applyBorder="1" applyAlignment="1">
      <alignment horizontal="center"/>
    </xf>
    <xf numFmtId="2" fontId="40" fillId="23" borderId="1" xfId="0" applyNumberFormat="1" applyFont="1" applyFill="1" applyBorder="1" applyAlignment="1">
      <alignment horizontal="center"/>
    </xf>
    <xf numFmtId="0" fontId="40" fillId="22" borderId="1" xfId="0" applyFont="1" applyFill="1" applyBorder="1"/>
    <xf numFmtId="164" fontId="41" fillId="22" borderId="1" xfId="0" applyNumberFormat="1" applyFont="1" applyFill="1" applyBorder="1" applyAlignment="1">
      <alignment horizontal="center"/>
    </xf>
    <xf numFmtId="2" fontId="40" fillId="22" borderId="1" xfId="0" applyNumberFormat="1" applyFont="1" applyFill="1" applyBorder="1" applyAlignment="1">
      <alignment horizontal="center"/>
    </xf>
    <xf numFmtId="2" fontId="41" fillId="22" borderId="1" xfId="0" applyNumberFormat="1" applyFont="1" applyFill="1" applyBorder="1" applyAlignment="1">
      <alignment horizontal="center"/>
    </xf>
    <xf numFmtId="2" fontId="40" fillId="22" borderId="1" xfId="0" applyNumberFormat="1" applyFont="1" applyFill="1" applyBorder="1"/>
    <xf numFmtId="2" fontId="25" fillId="0" borderId="5" xfId="0" applyNumberFormat="1" applyFont="1" applyBorder="1"/>
    <xf numFmtId="0" fontId="26" fillId="16" borderId="5" xfId="0" applyFont="1" applyFill="1" applyBorder="1" applyAlignment="1">
      <alignment horizontal="center" vertical="center" wrapText="1"/>
    </xf>
    <xf numFmtId="0" fontId="26" fillId="16" borderId="4" xfId="0" applyFont="1" applyFill="1" applyBorder="1" applyAlignment="1">
      <alignment horizontal="center" vertical="center" wrapText="1"/>
    </xf>
    <xf numFmtId="0" fontId="30" fillId="17" borderId="1" xfId="0" applyFont="1" applyFill="1" applyBorder="1" applyAlignment="1">
      <alignment horizontal="center"/>
    </xf>
    <xf numFmtId="0" fontId="10" fillId="10" borderId="1" xfId="0" applyFont="1" applyFill="1" applyBorder="1" applyAlignment="1">
      <alignment horizontal="center" vertical="center" wrapText="1"/>
    </xf>
    <xf numFmtId="0" fontId="10" fillId="10" borderId="1" xfId="0" applyFont="1" applyFill="1" applyBorder="1" applyAlignment="1">
      <alignment horizontal="center" vertical="center"/>
    </xf>
    <xf numFmtId="0" fontId="10" fillId="10" borderId="1" xfId="0" applyFont="1" applyFill="1" applyBorder="1" applyAlignment="1">
      <alignment horizontal="center"/>
    </xf>
    <xf numFmtId="0" fontId="19" fillId="0" borderId="1" xfId="0" applyFont="1" applyBorder="1" applyAlignment="1">
      <alignment horizontal="center"/>
    </xf>
    <xf numFmtId="0" fontId="22" fillId="0" borderId="1" xfId="0" applyFont="1" applyBorder="1" applyAlignment="1">
      <alignment horizontal="center"/>
    </xf>
    <xf numFmtId="0" fontId="18" fillId="11" borderId="1" xfId="0" applyFont="1" applyFill="1" applyBorder="1" applyAlignment="1">
      <alignment horizontal="center"/>
    </xf>
    <xf numFmtId="0" fontId="20" fillId="8" borderId="1" xfId="0" applyFont="1" applyFill="1" applyBorder="1" applyAlignment="1">
      <alignment horizontal="center" vertical="center"/>
    </xf>
    <xf numFmtId="0" fontId="26" fillId="20" borderId="2" xfId="0" applyFont="1" applyFill="1" applyBorder="1" applyAlignment="1">
      <alignment horizontal="center" vertical="center"/>
    </xf>
    <xf numFmtId="0" fontId="26" fillId="20" borderId="6" xfId="0" applyFont="1" applyFill="1" applyBorder="1" applyAlignment="1">
      <alignment horizontal="center" vertical="center"/>
    </xf>
    <xf numFmtId="0" fontId="26" fillId="20" borderId="2" xfId="0" applyFont="1" applyFill="1" applyBorder="1" applyAlignment="1">
      <alignment horizontal="center" vertical="center" wrapText="1"/>
    </xf>
    <xf numFmtId="0" fontId="26" fillId="20" borderId="6" xfId="0" applyFont="1" applyFill="1" applyBorder="1" applyAlignment="1">
      <alignment horizontal="center" vertical="center" wrapText="1"/>
    </xf>
    <xf numFmtId="0" fontId="26" fillId="19" borderId="5" xfId="0" applyFont="1" applyFill="1" applyBorder="1" applyAlignment="1">
      <alignment horizontal="center"/>
    </xf>
    <xf numFmtId="0" fontId="26" fillId="19" borderId="7" xfId="0" applyFont="1" applyFill="1" applyBorder="1" applyAlignment="1">
      <alignment horizontal="center"/>
    </xf>
    <xf numFmtId="0" fontId="26" fillId="19" borderId="4" xfId="0" applyFont="1" applyFill="1" applyBorder="1" applyAlignment="1">
      <alignment horizontal="center"/>
    </xf>
    <xf numFmtId="0" fontId="26" fillId="19" borderId="2" xfId="0" applyFont="1" applyFill="1" applyBorder="1" applyAlignment="1">
      <alignment horizontal="center" vertical="center" wrapText="1"/>
    </xf>
    <xf numFmtId="0" fontId="26" fillId="19" borderId="6" xfId="0" applyFont="1" applyFill="1" applyBorder="1" applyAlignment="1">
      <alignment horizontal="center" vertical="center" wrapText="1"/>
    </xf>
    <xf numFmtId="0" fontId="26" fillId="20" borderId="5" xfId="0" applyFont="1" applyFill="1" applyBorder="1" applyAlignment="1">
      <alignment horizontal="center" vertical="center"/>
    </xf>
    <xf numFmtId="0" fontId="26" fillId="20" borderId="7" xfId="0" applyFont="1" applyFill="1" applyBorder="1" applyAlignment="1">
      <alignment horizontal="center" vertical="center"/>
    </xf>
    <xf numFmtId="0" fontId="26" fillId="20" borderId="4" xfId="0" applyFont="1" applyFill="1" applyBorder="1" applyAlignment="1">
      <alignment horizontal="center" vertical="center"/>
    </xf>
    <xf numFmtId="0" fontId="38" fillId="0" borderId="0" xfId="0" applyFont="1" applyAlignment="1">
      <alignment horizontal="center" vertical="center"/>
    </xf>
    <xf numFmtId="0" fontId="26" fillId="19" borderId="2" xfId="0" applyFont="1" applyFill="1" applyBorder="1" applyAlignment="1">
      <alignment horizontal="center" vertical="center"/>
    </xf>
    <xf numFmtId="0" fontId="26" fillId="19" borderId="6" xfId="0" applyFont="1" applyFill="1" applyBorder="1" applyAlignment="1">
      <alignment horizontal="center" vertical="center"/>
    </xf>
    <xf numFmtId="0" fontId="41" fillId="21" borderId="1" xfId="0" applyFont="1" applyFill="1" applyBorder="1" applyAlignment="1">
      <alignment horizontal="center"/>
    </xf>
    <xf numFmtId="0" fontId="41" fillId="21" borderId="1" xfId="0" applyFont="1" applyFill="1" applyBorder="1" applyAlignment="1">
      <alignment horizontal="center"/>
    </xf>
    <xf numFmtId="0" fontId="40" fillId="21" borderId="1" xfId="0" applyFont="1" applyFill="1" applyBorder="1"/>
    <xf numFmtId="164" fontId="40" fillId="21" borderId="1" xfId="0" applyNumberFormat="1" applyFont="1" applyFill="1" applyBorder="1" applyAlignment="1">
      <alignment horizontal="center"/>
    </xf>
    <xf numFmtId="2" fontId="40" fillId="21" borderId="1" xfId="0" applyNumberFormat="1" applyFont="1" applyFill="1" applyBorder="1" applyAlignment="1">
      <alignment horizontal="center"/>
    </xf>
  </cellXfs>
  <cellStyles count="4">
    <cellStyle name="40% - Énfasis5" xfId="3" builtinId="47"/>
    <cellStyle name="Énfasis1" xfId="1" builtinId="29"/>
    <cellStyle name="Normal" xfId="0" builtinId="0"/>
    <cellStyle name="Salida" xfId="2" builtinId="2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'PENDIENTE_CUENCA-_ALTM_HIPSO'!$E$34:$E$44</c:f>
              <c:numCache>
                <c:formatCode>0.000</c:formatCode>
                <c:ptCount val="11"/>
                <c:pt idx="0">
                  <c:v>2442.7610000000004</c:v>
                </c:pt>
                <c:pt idx="1">
                  <c:v>2435.1850000000004</c:v>
                </c:pt>
                <c:pt idx="2">
                  <c:v>2399.9060000000004</c:v>
                </c:pt>
                <c:pt idx="3">
                  <c:v>2314.0110000000004</c:v>
                </c:pt>
                <c:pt idx="4">
                  <c:v>2170.0330000000004</c:v>
                </c:pt>
                <c:pt idx="5">
                  <c:v>1948.9700000000005</c:v>
                </c:pt>
                <c:pt idx="6">
                  <c:v>1663.2130000000004</c:v>
                </c:pt>
                <c:pt idx="7">
                  <c:v>1099.0610000000004</c:v>
                </c:pt>
                <c:pt idx="8">
                  <c:v>172.1880000000001</c:v>
                </c:pt>
                <c:pt idx="9">
                  <c:v>0.45299999999997453</c:v>
                </c:pt>
                <c:pt idx="10">
                  <c:v>0</c:v>
                </c:pt>
              </c:numCache>
            </c:numRef>
          </c:xVal>
          <c:yVal>
            <c:numRef>
              <c:f>'PENDIENTE_CUENCA-_ALTM_HIPSO'!$B$35:$B$44</c:f>
              <c:numCache>
                <c:formatCode>0.00</c:formatCode>
                <c:ptCount val="10"/>
                <c:pt idx="0">
                  <c:v>2480</c:v>
                </c:pt>
                <c:pt idx="1">
                  <c:v>2790</c:v>
                </c:pt>
                <c:pt idx="2">
                  <c:v>3100</c:v>
                </c:pt>
                <c:pt idx="3">
                  <c:v>3410</c:v>
                </c:pt>
                <c:pt idx="4">
                  <c:v>3720</c:v>
                </c:pt>
                <c:pt idx="5">
                  <c:v>4030</c:v>
                </c:pt>
                <c:pt idx="6">
                  <c:v>4340</c:v>
                </c:pt>
                <c:pt idx="7">
                  <c:v>4650</c:v>
                </c:pt>
                <c:pt idx="8">
                  <c:v>4960</c:v>
                </c:pt>
                <c:pt idx="9">
                  <c:v>5270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CED-4B61-827A-D0B44611FD4D}"/>
            </c:ext>
          </c:extLst>
        </c:ser>
        <c:ser>
          <c:idx val="1"/>
          <c:order val="1"/>
          <c:spPr>
            <a:ln w="2222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'PENDIENTE_CUENCA-_ALTM_HIPSO'!$D$34:$D$44</c:f>
              <c:numCache>
                <c:formatCode>0.000</c:formatCode>
                <c:ptCount val="11"/>
                <c:pt idx="0">
                  <c:v>0</c:v>
                </c:pt>
                <c:pt idx="1">
                  <c:v>7.5759999999999996</c:v>
                </c:pt>
                <c:pt idx="2">
                  <c:v>42.855000000000004</c:v>
                </c:pt>
                <c:pt idx="3">
                  <c:v>128.75</c:v>
                </c:pt>
                <c:pt idx="4">
                  <c:v>272.72800000000001</c:v>
                </c:pt>
                <c:pt idx="5">
                  <c:v>493.791</c:v>
                </c:pt>
                <c:pt idx="6">
                  <c:v>779.548</c:v>
                </c:pt>
                <c:pt idx="7">
                  <c:v>1343.7</c:v>
                </c:pt>
                <c:pt idx="8">
                  <c:v>2270.5730000000003</c:v>
                </c:pt>
                <c:pt idx="9">
                  <c:v>2442.3080000000004</c:v>
                </c:pt>
                <c:pt idx="10">
                  <c:v>2442.7610000000004</c:v>
                </c:pt>
              </c:numCache>
            </c:numRef>
          </c:xVal>
          <c:yVal>
            <c:numRef>
              <c:f>'PENDIENTE_CUENCA-_ALTM_HIPSO'!$B$35:$B$44</c:f>
              <c:numCache>
                <c:formatCode>0.00</c:formatCode>
                <c:ptCount val="10"/>
                <c:pt idx="0">
                  <c:v>2480</c:v>
                </c:pt>
                <c:pt idx="1">
                  <c:v>2790</c:v>
                </c:pt>
                <c:pt idx="2">
                  <c:v>3100</c:v>
                </c:pt>
                <c:pt idx="3">
                  <c:v>3410</c:v>
                </c:pt>
                <c:pt idx="4">
                  <c:v>3720</c:v>
                </c:pt>
                <c:pt idx="5">
                  <c:v>4030</c:v>
                </c:pt>
                <c:pt idx="6">
                  <c:v>4340</c:v>
                </c:pt>
                <c:pt idx="7">
                  <c:v>4650</c:v>
                </c:pt>
                <c:pt idx="8">
                  <c:v>4960</c:v>
                </c:pt>
                <c:pt idx="9">
                  <c:v>5270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CED-4B61-827A-D0B44611FD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06002016"/>
        <c:axId val="306000056"/>
      </c:scatterChart>
      <c:valAx>
        <c:axId val="306002016"/>
        <c:scaling>
          <c:orientation val="minMax"/>
          <c:max val="250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/>
                  <a:t>Área en Km2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6000056"/>
        <c:crosses val="autoZero"/>
        <c:crossBetween val="midCat"/>
        <c:majorUnit val="400"/>
        <c:minorUnit val="50"/>
      </c:valAx>
      <c:valAx>
        <c:axId val="306000056"/>
        <c:scaling>
          <c:orientation val="minMax"/>
          <c:max val="5800"/>
          <c:min val="2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/>
                  <a:t>Altitud (msnm)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6002016"/>
        <c:crosses val="autoZero"/>
        <c:crossBetween val="midCat"/>
        <c:majorUnit val="250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 orientation="portrait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75CC-4D6F-AED7-72CABACB6519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75CC-4D6F-AED7-72CABACB6519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75CC-4D6F-AED7-72CABACB6519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75CC-4D6F-AED7-72CABACB6519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75CC-4D6F-AED7-72CABACB6519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75CC-4D6F-AED7-72CABACB6519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75CC-4D6F-AED7-72CABACB6519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75CC-4D6F-AED7-72CABACB6519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75CC-4D6F-AED7-72CABACB6519}"/>
              </c:ext>
            </c:extLst>
          </c:dPt>
          <c:dPt>
            <c:idx val="1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75CC-4D6F-AED7-72CABACB6519}"/>
              </c:ext>
            </c:extLst>
          </c:dPt>
          <c:dPt>
            <c:idx val="11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75CC-4D6F-AED7-72CABACB6519}"/>
              </c:ext>
            </c:extLst>
          </c:dPt>
          <c:dPt>
            <c:idx val="12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75CC-4D6F-AED7-72CABACB6519}"/>
              </c:ext>
            </c:extLst>
          </c:dPt>
          <c:dPt>
            <c:idx val="13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9-75CC-4D6F-AED7-72CABACB6519}"/>
              </c:ext>
            </c:extLst>
          </c:dPt>
          <c:dPt>
            <c:idx val="14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B-75CC-4D6F-AED7-72CABACB6519}"/>
              </c:ext>
            </c:extLst>
          </c:dPt>
          <c:dPt>
            <c:idx val="15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D-75CC-4D6F-AED7-72CABACB6519}"/>
              </c:ext>
            </c:extLst>
          </c:dPt>
          <c:cat>
            <c:numRef>
              <c:f>'PENDIENTE_CUENCA-_ALTM_HIPSO'!$B$35:$B$44</c:f>
              <c:numCache>
                <c:formatCode>0.00</c:formatCode>
                <c:ptCount val="10"/>
                <c:pt idx="0">
                  <c:v>2480</c:v>
                </c:pt>
                <c:pt idx="1">
                  <c:v>2790</c:v>
                </c:pt>
                <c:pt idx="2">
                  <c:v>3100</c:v>
                </c:pt>
                <c:pt idx="3">
                  <c:v>3410</c:v>
                </c:pt>
                <c:pt idx="4">
                  <c:v>3720</c:v>
                </c:pt>
                <c:pt idx="5">
                  <c:v>4030</c:v>
                </c:pt>
                <c:pt idx="6">
                  <c:v>4340</c:v>
                </c:pt>
                <c:pt idx="7">
                  <c:v>4650</c:v>
                </c:pt>
                <c:pt idx="8">
                  <c:v>4960</c:v>
                </c:pt>
                <c:pt idx="9">
                  <c:v>5270</c:v>
                </c:pt>
              </c:numCache>
            </c:numRef>
          </c:cat>
          <c:val>
            <c:numRef>
              <c:f>'PENDIENTE_CUENCA-_ALTM_HIPSO'!$F$34:$F$44</c:f>
              <c:numCache>
                <c:formatCode>0.00</c:formatCode>
                <c:ptCount val="11"/>
                <c:pt idx="0">
                  <c:v>0</c:v>
                </c:pt>
                <c:pt idx="1">
                  <c:v>0.31014086109938704</c:v>
                </c:pt>
                <c:pt idx="2">
                  <c:v>1.4442264306659554</c:v>
                </c:pt>
                <c:pt idx="3">
                  <c:v>3.5163079810100117</c:v>
                </c:pt>
                <c:pt idx="4">
                  <c:v>5.8940682285332047</c:v>
                </c:pt>
                <c:pt idx="5">
                  <c:v>9.0497187403925281</c:v>
                </c:pt>
                <c:pt idx="6">
                  <c:v>11.698115370271589</c:v>
                </c:pt>
                <c:pt idx="7">
                  <c:v>23.094850458149608</c:v>
                </c:pt>
                <c:pt idx="8">
                  <c:v>37.943662928956208</c:v>
                </c:pt>
                <c:pt idx="9">
                  <c:v>7.0303644114180619</c:v>
                </c:pt>
                <c:pt idx="10">
                  <c:v>1.8544589503434839E-2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75CC-4D6F-AED7-72CABACB65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47"/>
        <c:axId val="305999272"/>
        <c:axId val="306002800"/>
      </c:barChart>
      <c:catAx>
        <c:axId val="305999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/>
                  <a:t>Altitud (msnm)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</c:title>
        <c:numFmt formatCode="0.00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6002800"/>
        <c:crosses val="autoZero"/>
        <c:auto val="1"/>
        <c:lblAlgn val="ctr"/>
        <c:lblOffset val="100"/>
        <c:noMultiLvlLbl val="0"/>
      </c:catAx>
      <c:valAx>
        <c:axId val="3060028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/>
                  <a:t>ÁrEA EN PORCENTAJE(%)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5999272"/>
        <c:crosses val="autoZero"/>
        <c:crossBetween val="between"/>
      </c:valAx>
      <c:spPr>
        <a:pattFill prst="ltDnDiag">
          <a:fgClr>
            <a:schemeClr val="dk1">
              <a:lumMod val="15000"/>
              <a:lumOff val="85000"/>
            </a:schemeClr>
          </a:fgClr>
          <a:bgClr>
            <a:schemeClr val="lt1"/>
          </a:bgClr>
        </a:pattFill>
        <a:ln>
          <a:noFill/>
        </a:ln>
        <a:effectLst/>
      </c:spPr>
    </c:plotArea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 orientation="landscape"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'[1]Caudal max'!$J$5</c:f>
              <c:strCache>
                <c:ptCount val="1"/>
                <c:pt idx="0">
                  <c:v>T= 5 años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'[1]Caudal max'!$I$6:$I$17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'[1]Caudal max'!$J$6:$J$17</c:f>
              <c:numCache>
                <c:formatCode>General</c:formatCode>
                <c:ptCount val="12"/>
                <c:pt idx="0">
                  <c:v>59.28</c:v>
                </c:pt>
                <c:pt idx="1">
                  <c:v>35.25</c:v>
                </c:pt>
                <c:pt idx="2">
                  <c:v>26</c:v>
                </c:pt>
                <c:pt idx="3">
                  <c:v>20.96</c:v>
                </c:pt>
                <c:pt idx="4">
                  <c:v>17.73</c:v>
                </c:pt>
                <c:pt idx="5">
                  <c:v>15.46</c:v>
                </c:pt>
                <c:pt idx="6">
                  <c:v>13.77</c:v>
                </c:pt>
                <c:pt idx="7">
                  <c:v>12.46</c:v>
                </c:pt>
                <c:pt idx="8">
                  <c:v>11.41</c:v>
                </c:pt>
                <c:pt idx="9">
                  <c:v>10.54</c:v>
                </c:pt>
                <c:pt idx="10">
                  <c:v>9.81</c:v>
                </c:pt>
                <c:pt idx="11">
                  <c:v>9.19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DD0-45A2-9EC6-B8CF86082B1A}"/>
            </c:ext>
          </c:extLst>
        </c:ser>
        <c:ser>
          <c:idx val="1"/>
          <c:order val="1"/>
          <c:tx>
            <c:strRef>
              <c:f>'[1]Caudal max'!$K$5</c:f>
              <c:strCache>
                <c:ptCount val="1"/>
                <c:pt idx="0">
                  <c:v>T= 10 años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'[1]Caudal max'!$I$6:$I$17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'[1]Caudal max'!$K$6:$K$17</c:f>
              <c:numCache>
                <c:formatCode>General</c:formatCode>
                <c:ptCount val="12"/>
                <c:pt idx="0">
                  <c:v>71.14</c:v>
                </c:pt>
                <c:pt idx="1">
                  <c:v>42.3</c:v>
                </c:pt>
                <c:pt idx="2">
                  <c:v>31.21</c:v>
                </c:pt>
                <c:pt idx="3">
                  <c:v>25.15</c:v>
                </c:pt>
                <c:pt idx="4">
                  <c:v>21.28</c:v>
                </c:pt>
                <c:pt idx="5">
                  <c:v>18.559999999999999</c:v>
                </c:pt>
                <c:pt idx="6">
                  <c:v>16.53</c:v>
                </c:pt>
                <c:pt idx="7">
                  <c:v>14.96</c:v>
                </c:pt>
                <c:pt idx="8">
                  <c:v>13.69</c:v>
                </c:pt>
                <c:pt idx="9">
                  <c:v>12.65</c:v>
                </c:pt>
                <c:pt idx="10">
                  <c:v>11.78</c:v>
                </c:pt>
                <c:pt idx="11">
                  <c:v>11.03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DD0-45A2-9EC6-B8CF86082B1A}"/>
            </c:ext>
          </c:extLst>
        </c:ser>
        <c:ser>
          <c:idx val="2"/>
          <c:order val="2"/>
          <c:tx>
            <c:strRef>
              <c:f>'[1]Caudal max'!$L$5</c:f>
              <c:strCache>
                <c:ptCount val="1"/>
                <c:pt idx="0">
                  <c:v>T= 20 años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'[1]Caudal max'!$I$6:$I$17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'[1]Caudal max'!$L$6:$L$17</c:f>
              <c:numCache>
                <c:formatCode>General</c:formatCode>
                <c:ptCount val="12"/>
                <c:pt idx="0">
                  <c:v>85.38</c:v>
                </c:pt>
                <c:pt idx="1">
                  <c:v>50.77</c:v>
                </c:pt>
                <c:pt idx="2">
                  <c:v>37.450000000000003</c:v>
                </c:pt>
                <c:pt idx="3">
                  <c:v>30.19</c:v>
                </c:pt>
                <c:pt idx="4">
                  <c:v>25.53</c:v>
                </c:pt>
                <c:pt idx="5">
                  <c:v>22.27</c:v>
                </c:pt>
                <c:pt idx="6">
                  <c:v>19.84</c:v>
                </c:pt>
                <c:pt idx="7">
                  <c:v>17.95</c:v>
                </c:pt>
                <c:pt idx="8">
                  <c:v>16.43</c:v>
                </c:pt>
                <c:pt idx="9">
                  <c:v>15.18</c:v>
                </c:pt>
                <c:pt idx="10">
                  <c:v>14.14</c:v>
                </c:pt>
                <c:pt idx="11">
                  <c:v>13.24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DD0-45A2-9EC6-B8CF86082B1A}"/>
            </c:ext>
          </c:extLst>
        </c:ser>
        <c:ser>
          <c:idx val="3"/>
          <c:order val="3"/>
          <c:tx>
            <c:strRef>
              <c:f>'[1]Caudal max'!$M$5</c:f>
              <c:strCache>
                <c:ptCount val="1"/>
                <c:pt idx="0">
                  <c:v>T= 50 años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'[1]Caudal max'!$I$6:$I$17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'[1]Caudal max'!$M$6:$M$17</c:f>
              <c:numCache>
                <c:formatCode>General</c:formatCode>
                <c:ptCount val="12"/>
                <c:pt idx="0">
                  <c:v>108.67</c:v>
                </c:pt>
                <c:pt idx="1">
                  <c:v>64.61</c:v>
                </c:pt>
                <c:pt idx="2">
                  <c:v>47.67</c:v>
                </c:pt>
                <c:pt idx="3">
                  <c:v>38.42</c:v>
                </c:pt>
                <c:pt idx="4">
                  <c:v>32.5</c:v>
                </c:pt>
                <c:pt idx="5">
                  <c:v>28.35</c:v>
                </c:pt>
                <c:pt idx="6">
                  <c:v>25.25</c:v>
                </c:pt>
                <c:pt idx="7">
                  <c:v>22.84</c:v>
                </c:pt>
                <c:pt idx="8">
                  <c:v>20.91</c:v>
                </c:pt>
                <c:pt idx="9">
                  <c:v>19.32</c:v>
                </c:pt>
                <c:pt idx="10">
                  <c:v>17.989999999999998</c:v>
                </c:pt>
                <c:pt idx="11">
                  <c:v>16.850000000000001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DD0-45A2-9EC6-B8CF86082B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08511240"/>
        <c:axId val="308508888"/>
      </c:scatterChart>
      <c:valAx>
        <c:axId val="3085112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latin typeface="Cambria" panose="02040503050406030204" pitchFamily="18" charset="0"/>
                  </a:rPr>
                  <a:t>Duración</a:t>
                </a:r>
                <a:r>
                  <a:rPr lang="en-US" baseline="0">
                    <a:latin typeface="Cambria" panose="02040503050406030204" pitchFamily="18" charset="0"/>
                  </a:rPr>
                  <a:t> (t) en minutos</a:t>
                </a:r>
                <a:endParaRPr lang="en-US">
                  <a:latin typeface="Cambria" panose="020405030504060302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8508888"/>
        <c:crosses val="autoZero"/>
        <c:crossBetween val="midCat"/>
      </c:valAx>
      <c:valAx>
        <c:axId val="308508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PE">
                    <a:latin typeface="Cambria" panose="02040503050406030204" pitchFamily="18" charset="0"/>
                  </a:rPr>
                  <a:t>Intensidad (mm/hr)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85112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Cambria" panose="02040503050406030204" pitchFamily="18" charset="0"/>
              <a:ea typeface="+mn-ea"/>
              <a:cs typeface="+mn-cs"/>
            </a:defRPr>
          </a:pPr>
          <a:endParaRPr lang="es-P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 orientation="landscape"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'Parámetros geomorfológicos'!$F$75</c:f>
              <c:strCache>
                <c:ptCount val="1"/>
                <c:pt idx="0">
                  <c:v>Caudal (m3/s)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'Parámetros geomorfológicos'!$E$76:$E$78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1.9409125293076057</c:v>
                </c:pt>
                <c:pt idx="2">
                  <c:v>5.1822364532513072</c:v>
                </c:pt>
              </c:numCache>
            </c:numRef>
          </c:xVal>
          <c:yVal>
            <c:numRef>
              <c:f>'Parámetros geomorfológicos'!$F$76:$F$78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905.60022500364721</c:v>
                </c:pt>
                <c:pt idx="2" formatCode="General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EBE-4CCC-A87E-4831AF8B34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08508496"/>
        <c:axId val="308510064"/>
      </c:scatterChart>
      <c:valAx>
        <c:axId val="3085084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b="1">
                    <a:latin typeface="Cambria" panose="02040503050406030204" pitchFamily="18" charset="0"/>
                  </a:rPr>
                  <a:t>Tiempo horas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8510064"/>
        <c:crosses val="autoZero"/>
        <c:crossBetween val="midCat"/>
      </c:valAx>
      <c:valAx>
        <c:axId val="3085100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b="1">
                    <a:latin typeface="Cambria" panose="02040503050406030204" pitchFamily="18" charset="0"/>
                  </a:rPr>
                  <a:t>Caudal</a:t>
                </a:r>
                <a:r>
                  <a:rPr lang="es-ES" b="1" baseline="0">
                    <a:latin typeface="Cambria" panose="02040503050406030204" pitchFamily="18" charset="0"/>
                  </a:rPr>
                  <a:t> (m</a:t>
                </a:r>
                <a:r>
                  <a:rPr lang="es-ES" b="1" baseline="30000">
                    <a:latin typeface="Cambria" panose="02040503050406030204" pitchFamily="18" charset="0"/>
                  </a:rPr>
                  <a:t>3</a:t>
                </a:r>
                <a:r>
                  <a:rPr lang="es-ES" b="1" baseline="0">
                    <a:latin typeface="Cambria" panose="02040503050406030204" pitchFamily="18" charset="0"/>
                  </a:rPr>
                  <a:t>/seg</a:t>
                </a:r>
                <a:r>
                  <a:rPr lang="es-ES" baseline="0"/>
                  <a:t>)</a:t>
                </a:r>
                <a:endParaRPr lang="es-ES"/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8508496"/>
        <c:crosses val="autoZero"/>
        <c:crossBetween val="midCat"/>
      </c:valAx>
      <c:spPr>
        <a:gradFill rotWithShape="1">
          <a:gsLst>
            <a:gs pos="0">
              <a:schemeClr val="accent1">
                <a:lumMod val="110000"/>
                <a:satMod val="105000"/>
                <a:tint val="67000"/>
              </a:schemeClr>
            </a:gs>
            <a:gs pos="50000">
              <a:schemeClr val="accent1">
                <a:lumMod val="105000"/>
                <a:satMod val="103000"/>
                <a:tint val="73000"/>
              </a:schemeClr>
            </a:gs>
            <a:gs pos="100000">
              <a:schemeClr val="accent1">
                <a:lumMod val="105000"/>
                <a:satMod val="109000"/>
                <a:tint val="81000"/>
              </a:schemeClr>
            </a:gs>
          </a:gsLst>
          <a:lin ang="5400000" scaled="0"/>
        </a:gradFill>
        <a:ln w="6350" cap="flat" cmpd="sng" algn="ctr">
          <a:solidFill>
            <a:schemeClr val="accent1"/>
          </a:solidFill>
          <a:prstDash val="solid"/>
          <a:miter lim="800000"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'Cálculo de caudales de diseño'!$V$20</c:f>
              <c:strCache>
                <c:ptCount val="1"/>
                <c:pt idx="0">
                  <c:v>T= 5 años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diseño'!$V$21:$V$32</c:f>
              <c:numCache>
                <c:formatCode>0.00</c:formatCode>
                <c:ptCount val="12"/>
                <c:pt idx="0">
                  <c:v>65.532915541523636</c:v>
                </c:pt>
                <c:pt idx="1">
                  <c:v>38.966104714426166</c:v>
                </c:pt>
                <c:pt idx="2">
                  <c:v>28.748722379069935</c:v>
                </c:pt>
                <c:pt idx="3">
                  <c:v>23.169384485168333</c:v>
                </c:pt>
                <c:pt idx="4">
                  <c:v>19.598913076978118</c:v>
                </c:pt>
                <c:pt idx="5">
                  <c:v>17.094092600213969</c:v>
                </c:pt>
                <c:pt idx="6">
                  <c:v>15.227757777080411</c:v>
                </c:pt>
                <c:pt idx="7">
                  <c:v>13.776598439997924</c:v>
                </c:pt>
                <c:pt idx="8">
                  <c:v>12.611815476226562</c:v>
                </c:pt>
                <c:pt idx="9">
                  <c:v>11.65358343873112</c:v>
                </c:pt>
                <c:pt idx="10">
                  <c:v>10.849631205902108</c:v>
                </c:pt>
                <c:pt idx="11">
                  <c:v>10.164208272344903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AE0-40C6-BA0F-84EF285B7576}"/>
            </c:ext>
          </c:extLst>
        </c:ser>
        <c:ser>
          <c:idx val="1"/>
          <c:order val="1"/>
          <c:tx>
            <c:strRef>
              <c:f>'Cálculo de caudales de diseño'!$W$20</c:f>
              <c:strCache>
                <c:ptCount val="1"/>
                <c:pt idx="0">
                  <c:v>T= 10 años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diseño'!$W$21:$W$32</c:f>
              <c:numCache>
                <c:formatCode>0.00</c:formatCode>
                <c:ptCount val="12"/>
                <c:pt idx="0">
                  <c:v>81.179739934794256</c:v>
                </c:pt>
                <c:pt idx="1">
                  <c:v>48.269762162263937</c:v>
                </c:pt>
                <c:pt idx="2">
                  <c:v>35.61284870214147</c:v>
                </c:pt>
                <c:pt idx="3">
                  <c:v>28.701372301426701</c:v>
                </c:pt>
                <c:pt idx="4">
                  <c:v>24.278405034270055</c:v>
                </c:pt>
                <c:pt idx="5">
                  <c:v>21.175526531051037</c:v>
                </c:pt>
                <c:pt idx="6">
                  <c:v>18.86358032323686</c:v>
                </c:pt>
                <c:pt idx="7">
                  <c:v>17.065938075599334</c:v>
                </c:pt>
                <c:pt idx="8">
                  <c:v>15.623048234699093</c:v>
                </c:pt>
                <c:pt idx="9">
                  <c:v>14.436026003835909</c:v>
                </c:pt>
                <c:pt idx="10">
                  <c:v>13.440119860461246</c:v>
                </c:pt>
                <c:pt idx="11">
                  <c:v>12.591043407327385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5AE0-40C6-BA0F-84EF285B7576}"/>
            </c:ext>
          </c:extLst>
        </c:ser>
        <c:ser>
          <c:idx val="2"/>
          <c:order val="2"/>
          <c:tx>
            <c:strRef>
              <c:f>'Cálculo de caudales de diseño'!$X$20</c:f>
              <c:strCache>
                <c:ptCount val="1"/>
                <c:pt idx="0">
                  <c:v>T=20 años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diseño'!$X$21:$X$32</c:f>
              <c:numCache>
                <c:formatCode>0.00</c:formatCode>
                <c:ptCount val="12"/>
                <c:pt idx="0">
                  <c:v>100.56244440559202</c:v>
                </c:pt>
                <c:pt idx="1">
                  <c:v>59.794787194597816</c:v>
                </c:pt>
                <c:pt idx="2">
                  <c:v>44.115873253726484</c:v>
                </c:pt>
                <c:pt idx="3">
                  <c:v>35.554193185944662</c:v>
                </c:pt>
                <c:pt idx="4">
                  <c:v>30.075185735705762</c:v>
                </c:pt>
                <c:pt idx="5">
                  <c:v>26.231455178944898</c:v>
                </c:pt>
                <c:pt idx="6">
                  <c:v>23.367502151024649</c:v>
                </c:pt>
                <c:pt idx="7">
                  <c:v>21.140649752453331</c:v>
                </c:pt>
                <c:pt idx="8">
                  <c:v>19.353251449311777</c:v>
                </c:pt>
                <c:pt idx="9">
                  <c:v>17.882812430964812</c:v>
                </c:pt>
                <c:pt idx="10">
                  <c:v>16.649120918073223</c:v>
                </c:pt>
                <c:pt idx="11">
                  <c:v>15.597316567838117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5AE0-40C6-BA0F-84EF285B7576}"/>
            </c:ext>
          </c:extLst>
        </c:ser>
        <c:ser>
          <c:idx val="3"/>
          <c:order val="3"/>
          <c:tx>
            <c:strRef>
              <c:f>'Cálculo de caudales de diseño'!$Y$20</c:f>
              <c:strCache>
                <c:ptCount val="1"/>
                <c:pt idx="0">
                  <c:v>T= 50 años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diseño'!$Y$21:$Y$32</c:f>
              <c:numCache>
                <c:formatCode>0.00</c:formatCode>
                <c:ptCount val="12"/>
                <c:pt idx="0">
                  <c:v>133.46257200164598</c:v>
                </c:pt>
                <c:pt idx="1">
                  <c:v>79.35732010546019</c:v>
                </c:pt>
                <c:pt idx="2">
                  <c:v>58.548874237722416</c:v>
                </c:pt>
                <c:pt idx="3">
                  <c:v>47.186144848480872</c:v>
                </c:pt>
                <c:pt idx="4">
                  <c:v>39.914618876262153</c:v>
                </c:pt>
                <c:pt idx="5">
                  <c:v>34.813368909449522</c:v>
                </c:pt>
                <c:pt idx="6">
                  <c:v>31.012441640254345</c:v>
                </c:pt>
                <c:pt idx="7">
                  <c:v>28.057049591681235</c:v>
                </c:pt>
                <c:pt idx="8">
                  <c:v>25.684883957296709</c:v>
                </c:pt>
                <c:pt idx="9">
                  <c:v>23.733374380136425</c:v>
                </c:pt>
                <c:pt idx="10">
                  <c:v>22.096066900785242</c:v>
                </c:pt>
                <c:pt idx="11">
                  <c:v>20.700153002165933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5AE0-40C6-BA0F-84EF285B7576}"/>
            </c:ext>
          </c:extLst>
        </c:ser>
        <c:ser>
          <c:idx val="4"/>
          <c:order val="4"/>
          <c:tx>
            <c:strRef>
              <c:f>'Cálculo de caudales de diseño'!$Z$20</c:f>
              <c:strCache>
                <c:ptCount val="1"/>
                <c:pt idx="0">
                  <c:v>T= 100 años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diseño'!$Z$21:$Z$32</c:f>
              <c:numCache>
                <c:formatCode>0.00</c:formatCode>
                <c:ptCount val="12"/>
                <c:pt idx="0">
                  <c:v>165.32847343343562</c:v>
                </c:pt>
                <c:pt idx="1">
                  <c:v>98.304898459790024</c:v>
                </c:pt>
                <c:pt idx="2">
                  <c:v>72.528169162283746</c:v>
                </c:pt>
                <c:pt idx="3">
                  <c:v>58.452442344001163</c:v>
                </c:pt>
                <c:pt idx="4">
                  <c:v>49.444746249970599</c:v>
                </c:pt>
                <c:pt idx="5">
                  <c:v>43.125507402954405</c:v>
                </c:pt>
                <c:pt idx="6">
                  <c:v>38.417059981157337</c:v>
                </c:pt>
                <c:pt idx="7">
                  <c:v>34.756030162386267</c:v>
                </c:pt>
                <c:pt idx="8">
                  <c:v>31.817479547167988</c:v>
                </c:pt>
                <c:pt idx="9">
                  <c:v>29.400022019984561</c:v>
                </c:pt>
                <c:pt idx="10">
                  <c:v>27.371786372773002</c:v>
                </c:pt>
                <c:pt idx="11">
                  <c:v>25.642580120847935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5AE0-40C6-BA0F-84EF285B7576}"/>
            </c:ext>
          </c:extLst>
        </c:ser>
        <c:ser>
          <c:idx val="5"/>
          <c:order val="5"/>
          <c:tx>
            <c:strRef>
              <c:f>'Cálculo de caudales de diseño'!$AA$20</c:f>
              <c:strCache>
                <c:ptCount val="1"/>
                <c:pt idx="0">
                  <c:v>T= 250 años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diseño'!$AA$21:$AA$32</c:f>
              <c:numCache>
                <c:formatCode>0.00</c:formatCode>
                <c:ptCount val="12"/>
                <c:pt idx="0">
                  <c:v>219.41753126582839</c:v>
                </c:pt>
                <c:pt idx="1">
                  <c:v>130.46644466882759</c:v>
                </c:pt>
                <c:pt idx="2">
                  <c:v>96.256570295049286</c:v>
                </c:pt>
                <c:pt idx="3">
                  <c:v>77.575812134639293</c:v>
                </c:pt>
                <c:pt idx="4">
                  <c:v>65.621147591385125</c:v>
                </c:pt>
                <c:pt idx="5">
                  <c:v>57.234499130316109</c:v>
                </c:pt>
                <c:pt idx="6">
                  <c:v>50.985630511798206</c:v>
                </c:pt>
                <c:pt idx="7">
                  <c:v>46.126853871313756</c:v>
                </c:pt>
                <c:pt idx="8">
                  <c:v>42.22692358041639</c:v>
                </c:pt>
                <c:pt idx="9">
                  <c:v>39.018567805159421</c:v>
                </c:pt>
                <c:pt idx="10">
                  <c:v>36.32677219793942</c:v>
                </c:pt>
                <c:pt idx="11">
                  <c:v>34.03183679469447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5AE0-40C6-BA0F-84EF285B7576}"/>
            </c:ext>
          </c:extLst>
        </c:ser>
        <c:ser>
          <c:idx val="6"/>
          <c:order val="6"/>
          <c:tx>
            <c:strRef>
              <c:f>'Cálculo de caudales de diseño'!$AB$20</c:f>
              <c:strCache>
                <c:ptCount val="1"/>
                <c:pt idx="0">
                  <c:v>T= 500 años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diseño'!$AB$21:$AB$32</c:f>
              <c:numCache>
                <c:formatCode>0.00</c:formatCode>
                <c:ptCount val="12"/>
                <c:pt idx="0">
                  <c:v>271.80628205085952</c:v>
                </c:pt>
                <c:pt idx="1">
                  <c:v>161.61698225865931</c:v>
                </c:pt>
                <c:pt idx="2">
                  <c:v>119.23906145479062</c:v>
                </c:pt>
                <c:pt idx="3">
                  <c:v>96.098032603633087</c:v>
                </c:pt>
                <c:pt idx="4">
                  <c:v>81.289038518604841</c:v>
                </c:pt>
                <c:pt idx="5">
                  <c:v>70.899970134141881</c:v>
                </c:pt>
                <c:pt idx="6">
                  <c:v>63.159103958020786</c:v>
                </c:pt>
                <c:pt idx="7">
                  <c:v>57.140232055001988</c:v>
                </c:pt>
                <c:pt idx="8">
                  <c:v>52.309143369831702</c:v>
                </c:pt>
                <c:pt idx="9">
                  <c:v>48.334751489027546</c:v>
                </c:pt>
                <c:pt idx="10">
                  <c:v>45.000255144007156</c:v>
                </c:pt>
                <c:pt idx="11">
                  <c:v>42.157374468500954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5AE0-40C6-BA0F-84EF285B7576}"/>
            </c:ext>
          </c:extLst>
        </c:ser>
        <c:ser>
          <c:idx val="7"/>
          <c:order val="7"/>
          <c:tx>
            <c:strRef>
              <c:f>'Cálculo de caudales de diseño'!$AC$20</c:f>
              <c:strCache>
                <c:ptCount val="1"/>
                <c:pt idx="0">
                  <c:v>T= 1000 años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diseño'!$AC$21:$AC$32</c:f>
              <c:numCache>
                <c:formatCode>0.00</c:formatCode>
                <c:ptCount val="12"/>
                <c:pt idx="0">
                  <c:v>336.7035192498181</c:v>
                </c:pt>
                <c:pt idx="1">
                  <c:v>200.20511036916972</c:v>
                </c:pt>
                <c:pt idx="2">
                  <c:v>147.70891725144503</c:v>
                </c:pt>
                <c:pt idx="3">
                  <c:v>119.04267085546083</c:v>
                </c:pt>
                <c:pt idx="4">
                  <c:v>100.69783942862229</c:v>
                </c:pt>
                <c:pt idx="5">
                  <c:v>87.828247672383327</c:v>
                </c:pt>
                <c:pt idx="6">
                  <c:v>78.239150378987603</c:v>
                </c:pt>
                <c:pt idx="7">
                  <c:v>70.783195585120566</c:v>
                </c:pt>
                <c:pt idx="8">
                  <c:v>64.798622491992276</c:v>
                </c:pt>
                <c:pt idx="9">
                  <c:v>59.875293556959555</c:v>
                </c:pt>
                <c:pt idx="10">
                  <c:v>55.744643426938133</c:v>
                </c:pt>
                <c:pt idx="11">
                  <c:v>52.222988515109684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5AE0-40C6-BA0F-84EF285B75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05965272"/>
        <c:axId val="314979072"/>
      </c:scatterChart>
      <c:valAx>
        <c:axId val="305965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79072"/>
        <c:crosses val="autoZero"/>
        <c:crossBetween val="midCat"/>
        <c:majorUnit val="10"/>
      </c:valAx>
      <c:valAx>
        <c:axId val="314979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059652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Cambria" panose="02040503050406030204" pitchFamily="18" charset="0"/>
              <a:ea typeface="+mn-ea"/>
              <a:cs typeface="+mn-cs"/>
            </a:defRPr>
          </a:pPr>
          <a:endParaRPr lang="es-P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Cambria" panose="02040503050406030204" pitchFamily="18" charset="0"/>
        </a:defRPr>
      </a:pPr>
      <a:endParaRPr lang="es-PE"/>
    </a:p>
  </c:txPr>
  <c:printSettings>
    <c:headerFooter/>
    <c:pageMargins b="0.75" l="0.7" r="0.7" t="0.75" header="0.3" footer="0.3"/>
    <c:pageSetup orientation="landscape"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'Cálculo de caudales de diseño'!$E$70</c:f>
              <c:strCache>
                <c:ptCount val="1"/>
                <c:pt idx="0">
                  <c:v>Caudal (m3/s)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diseño'!$D$71:$D$73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0.73196900032124101</c:v>
                </c:pt>
                <c:pt idx="2">
                  <c:v>2.0851292873471023</c:v>
                </c:pt>
              </c:numCache>
            </c:numRef>
          </c:xVal>
          <c:yVal>
            <c:numRef>
              <c:f>'Cálculo de caudales de diseño'!$E$71:$E$73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13.834398626663146</c:v>
                </c:pt>
                <c:pt idx="2" formatCode="General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6A6-4864-8ECA-620F51DC23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14978680"/>
        <c:axId val="314981424"/>
      </c:scatterChart>
      <c:valAx>
        <c:axId val="3149786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Tiempo horas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81424"/>
        <c:crosses val="autoZero"/>
        <c:crossBetween val="midCat"/>
      </c:valAx>
      <c:valAx>
        <c:axId val="31498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Caudal (m</a:t>
                </a:r>
                <a:r>
                  <a:rPr lang="es-PE" b="1" baseline="30000"/>
                  <a:t>3</a:t>
                </a:r>
                <a:r>
                  <a:rPr lang="es-PE" b="1"/>
                  <a:t>/seg)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786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Cambria" panose="02040503050406030204" pitchFamily="18" charset="0"/>
        </a:defRPr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'Cálculo de caudales de diseño'!$E$90</c:f>
              <c:strCache>
                <c:ptCount val="1"/>
                <c:pt idx="0">
                  <c:v>Caudal (m3/s)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diseño'!$D$91:$D$93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0.67209092754718536</c:v>
                </c:pt>
                <c:pt idx="2">
                  <c:v>3.6829838025543316</c:v>
                </c:pt>
              </c:numCache>
            </c:numRef>
          </c:xVal>
          <c:yVal>
            <c:numRef>
              <c:f>'Cálculo de caudales de diseño'!$E$91:$E$93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12.13084239343838</c:v>
                </c:pt>
                <c:pt idx="2" formatCode="General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2F7-4CD7-8BE7-F8309B1ADF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14981032"/>
        <c:axId val="314982208"/>
      </c:scatterChart>
      <c:valAx>
        <c:axId val="3149810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Tiempo horas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82208"/>
        <c:crosses val="autoZero"/>
        <c:crossBetween val="midCat"/>
      </c:valAx>
      <c:valAx>
        <c:axId val="314982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Caudal (m</a:t>
                </a:r>
                <a:r>
                  <a:rPr lang="es-PE" b="1" baseline="30000"/>
                  <a:t>3</a:t>
                </a:r>
                <a:r>
                  <a:rPr lang="es-PE" b="1"/>
                  <a:t>/seg)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810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Cambria" panose="02040503050406030204" pitchFamily="18" charset="0"/>
        </a:defRPr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'Cálculo de caudales de diseño'!$E$110</c:f>
              <c:strCache>
                <c:ptCount val="1"/>
                <c:pt idx="0">
                  <c:v>Caudal (m3/s)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diseño'!$D$111:$D$113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0.76674877401697017</c:v>
                </c:pt>
                <c:pt idx="2">
                  <c:v>3.3368817619307638</c:v>
                </c:pt>
              </c:numCache>
            </c:numRef>
          </c:xVal>
          <c:yVal>
            <c:numRef>
              <c:f>'Cálculo de caudales de diseño'!$E$111:$E$113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13.839360348022183</c:v>
                </c:pt>
                <c:pt idx="2" formatCode="General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354-4675-A40D-010CE8522F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14979464"/>
        <c:axId val="314979856"/>
      </c:scatterChart>
      <c:valAx>
        <c:axId val="3149794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Tiempo horas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79856"/>
        <c:crosses val="autoZero"/>
        <c:crossBetween val="midCat"/>
      </c:valAx>
      <c:valAx>
        <c:axId val="314979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Caudal (m</a:t>
                </a:r>
                <a:r>
                  <a:rPr lang="es-PE" b="1" baseline="30000"/>
                  <a:t>3</a:t>
                </a:r>
                <a:r>
                  <a:rPr lang="es-PE" b="1"/>
                  <a:t>/seg)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794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Cambria" panose="02040503050406030204" pitchFamily="18" charset="0"/>
        </a:defRPr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emf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chart" Target="../charts/chart4.xml"/><Relationship Id="rId7" Type="http://schemas.openxmlformats.org/officeDocument/2006/relationships/image" Target="../media/image19.png"/><Relationship Id="rId2" Type="http://schemas.openxmlformats.org/officeDocument/2006/relationships/image" Target="../media/image15.emf"/><Relationship Id="rId1" Type="http://schemas.openxmlformats.org/officeDocument/2006/relationships/chart" Target="../charts/chart3.xml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chart" Target="../charts/chart6.xml"/><Relationship Id="rId3" Type="http://schemas.openxmlformats.org/officeDocument/2006/relationships/image" Target="../media/image23.png"/><Relationship Id="rId7" Type="http://schemas.openxmlformats.org/officeDocument/2006/relationships/image" Target="../media/image26.png"/><Relationship Id="rId12" Type="http://schemas.openxmlformats.org/officeDocument/2006/relationships/image" Target="../media/image15.emf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chart" Target="../charts/chart8.xml"/><Relationship Id="rId10" Type="http://schemas.openxmlformats.org/officeDocument/2006/relationships/image" Target="../media/image29.png"/><Relationship Id="rId4" Type="http://schemas.openxmlformats.org/officeDocument/2006/relationships/chart" Target="../charts/chart5.xml"/><Relationship Id="rId9" Type="http://schemas.openxmlformats.org/officeDocument/2006/relationships/image" Target="../media/image28.png"/><Relationship Id="rId14" Type="http://schemas.openxmlformats.org/officeDocument/2006/relationships/chart" Target="../charts/chart7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4.wmf"/><Relationship Id="rId2" Type="http://schemas.openxmlformats.org/officeDocument/2006/relationships/image" Target="../media/image13.wmf"/><Relationship Id="rId1" Type="http://schemas.openxmlformats.org/officeDocument/2006/relationships/image" Target="../media/image12.w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7620</xdr:colOff>
          <xdr:row>5</xdr:row>
          <xdr:rowOff>76200</xdr:rowOff>
        </xdr:from>
        <xdr:to>
          <xdr:col>2</xdr:col>
          <xdr:colOff>525780</xdr:colOff>
          <xdr:row>6</xdr:row>
          <xdr:rowOff>114300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0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16</xdr:row>
          <xdr:rowOff>106680</xdr:rowOff>
        </xdr:from>
        <xdr:to>
          <xdr:col>3</xdr:col>
          <xdr:colOff>594360</xdr:colOff>
          <xdr:row>20</xdr:row>
          <xdr:rowOff>38100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0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21</xdr:row>
          <xdr:rowOff>99060</xdr:rowOff>
        </xdr:from>
        <xdr:to>
          <xdr:col>3</xdr:col>
          <xdr:colOff>601980</xdr:colOff>
          <xdr:row>24</xdr:row>
          <xdr:rowOff>152400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0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38100</xdr:colOff>
          <xdr:row>92</xdr:row>
          <xdr:rowOff>152400</xdr:rowOff>
        </xdr:from>
        <xdr:to>
          <xdr:col>2</xdr:col>
          <xdr:colOff>289560</xdr:colOff>
          <xdr:row>95</xdr:row>
          <xdr:rowOff>60960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0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22860</xdr:colOff>
          <xdr:row>104</xdr:row>
          <xdr:rowOff>38100</xdr:rowOff>
        </xdr:from>
        <xdr:to>
          <xdr:col>2</xdr:col>
          <xdr:colOff>754380</xdr:colOff>
          <xdr:row>107</xdr:row>
          <xdr:rowOff>99060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0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106680</xdr:colOff>
          <xdr:row>44</xdr:row>
          <xdr:rowOff>0</xdr:rowOff>
        </xdr:from>
        <xdr:to>
          <xdr:col>7</xdr:col>
          <xdr:colOff>792480</xdr:colOff>
          <xdr:row>47</xdr:row>
          <xdr:rowOff>60960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0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99060</xdr:colOff>
          <xdr:row>148</xdr:row>
          <xdr:rowOff>30480</xdr:rowOff>
        </xdr:from>
        <xdr:to>
          <xdr:col>2</xdr:col>
          <xdr:colOff>723900</xdr:colOff>
          <xdr:row>150</xdr:row>
          <xdr:rowOff>121920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0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0</xdr:col>
      <xdr:colOff>486455</xdr:colOff>
      <xdr:row>47</xdr:row>
      <xdr:rowOff>103073</xdr:rowOff>
    </xdr:from>
    <xdr:to>
      <xdr:col>5</xdr:col>
      <xdr:colOff>1057955</xdr:colOff>
      <xdr:row>64</xdr:row>
      <xdr:rowOff>113788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228214</xdr:colOff>
      <xdr:row>46</xdr:row>
      <xdr:rowOff>68035</xdr:rowOff>
    </xdr:from>
    <xdr:to>
      <xdr:col>9</xdr:col>
      <xdr:colOff>671853</xdr:colOff>
      <xdr:row>61</xdr:row>
      <xdr:rowOff>136528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238125</xdr:colOff>
      <xdr:row>4</xdr:row>
      <xdr:rowOff>38100</xdr:rowOff>
    </xdr:from>
    <xdr:to>
      <xdr:col>5</xdr:col>
      <xdr:colOff>752475</xdr:colOff>
      <xdr:row>10</xdr:row>
      <xdr:rowOff>47625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 rotWithShape="1">
        <a:blip xmlns:r="http://schemas.openxmlformats.org/officeDocument/2006/relationships" r:embed="rId1"/>
        <a:srcRect l="58731" t="44268" r="26442" b="47367"/>
        <a:stretch/>
      </xdr:blipFill>
      <xdr:spPr bwMode="auto">
        <a:xfrm>
          <a:off x="1762125" y="523875"/>
          <a:ext cx="2800350" cy="981075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</xdr:col>
      <xdr:colOff>371475</xdr:colOff>
      <xdr:row>19</xdr:row>
      <xdr:rowOff>76200</xdr:rowOff>
    </xdr:from>
    <xdr:to>
      <xdr:col>6</xdr:col>
      <xdr:colOff>152400</xdr:colOff>
      <xdr:row>25</xdr:row>
      <xdr:rowOff>76200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 rotWithShape="1">
        <a:blip xmlns:r="http://schemas.openxmlformats.org/officeDocument/2006/relationships" r:embed="rId2"/>
        <a:srcRect l="58803" t="56011" r="25802" b="36253"/>
        <a:stretch/>
      </xdr:blipFill>
      <xdr:spPr bwMode="auto">
        <a:xfrm>
          <a:off x="1895475" y="2990850"/>
          <a:ext cx="2828925" cy="97155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0</xdr:col>
      <xdr:colOff>752475</xdr:colOff>
      <xdr:row>29</xdr:row>
      <xdr:rowOff>142875</xdr:rowOff>
    </xdr:from>
    <xdr:to>
      <xdr:col>7</xdr:col>
      <xdr:colOff>19050</xdr:colOff>
      <xdr:row>57</xdr:row>
      <xdr:rowOff>38100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5" y="4676775"/>
          <a:ext cx="4600575" cy="442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492124</xdr:colOff>
      <xdr:row>60</xdr:row>
      <xdr:rowOff>119063</xdr:rowOff>
    </xdr:from>
    <xdr:to>
      <xdr:col>6</xdr:col>
      <xdr:colOff>452438</xdr:colOff>
      <xdr:row>78</xdr:row>
      <xdr:rowOff>63500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3379" t="30499" r="14648" b="27259"/>
        <a:stretch/>
      </xdr:blipFill>
      <xdr:spPr>
        <a:xfrm>
          <a:off x="1254124" y="10339388"/>
          <a:ext cx="3770314" cy="285908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563880</xdr:colOff>
      <xdr:row>21</xdr:row>
      <xdr:rowOff>49530</xdr:rowOff>
    </xdr:from>
    <xdr:to>
      <xdr:col>13</xdr:col>
      <xdr:colOff>0</xdr:colOff>
      <xdr:row>40</xdr:row>
      <xdr:rowOff>83820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19051</xdr:colOff>
      <xdr:row>53</xdr:row>
      <xdr:rowOff>30480</xdr:rowOff>
    </xdr:from>
    <xdr:to>
      <xdr:col>9</xdr:col>
      <xdr:colOff>556261</xdr:colOff>
      <xdr:row>67</xdr:row>
      <xdr:rowOff>60960</xdr:rowOff>
    </xdr:to>
    <xdr:pic>
      <xdr:nvPicPr>
        <xdr:cNvPr id="3" name="Imagen 28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870" r="59514"/>
        <a:stretch/>
      </xdr:blipFill>
      <xdr:spPr bwMode="auto">
        <a:xfrm>
          <a:off x="5172076" y="10479405"/>
          <a:ext cx="4185285" cy="2697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518160</xdr:colOff>
          <xdr:row>55</xdr:row>
          <xdr:rowOff>76200</xdr:rowOff>
        </xdr:from>
        <xdr:to>
          <xdr:col>1</xdr:col>
          <xdr:colOff>525780</xdr:colOff>
          <xdr:row>57</xdr:row>
          <xdr:rowOff>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2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274320</xdr:colOff>
          <xdr:row>58</xdr:row>
          <xdr:rowOff>68580</xdr:rowOff>
        </xdr:from>
        <xdr:to>
          <xdr:col>1</xdr:col>
          <xdr:colOff>990600</xdr:colOff>
          <xdr:row>59</xdr:row>
          <xdr:rowOff>175260</xdr:rowOff>
        </xdr:to>
        <xdr:sp macro="" textlink="">
          <xdr:nvSpPr>
            <xdr:cNvPr id="8194" name="Object 2" hidden="1">
              <a:extLst>
                <a:ext uri="{63B3BB69-23CF-44E3-9099-C40C66FF867C}">
                  <a14:compatExt spid="_x0000_s8194"/>
                </a:ext>
                <a:ext uri="{FF2B5EF4-FFF2-40B4-BE49-F238E27FC236}">
                  <a16:creationId xmlns:a16="http://schemas.microsoft.com/office/drawing/2014/main" id="{00000000-0008-0000-0200-000002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708660</xdr:colOff>
          <xdr:row>62</xdr:row>
          <xdr:rowOff>99060</xdr:rowOff>
        </xdr:from>
        <xdr:to>
          <xdr:col>2</xdr:col>
          <xdr:colOff>556260</xdr:colOff>
          <xdr:row>65</xdr:row>
          <xdr:rowOff>22860</xdr:rowOff>
        </xdr:to>
        <xdr:sp macro="" textlink="">
          <xdr:nvSpPr>
            <xdr:cNvPr id="8195" name="Object 3" hidden="1">
              <a:extLst>
                <a:ext uri="{63B3BB69-23CF-44E3-9099-C40C66FF867C}">
                  <a14:compatExt spid="_x0000_s8195"/>
                </a:ext>
                <a:ext uri="{FF2B5EF4-FFF2-40B4-BE49-F238E27FC236}">
                  <a16:creationId xmlns:a16="http://schemas.microsoft.com/office/drawing/2014/main" id="{00000000-0008-0000-0200-000003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xdr:twoCellAnchor>
    <xdr:from>
      <xdr:col>6</xdr:col>
      <xdr:colOff>854022</xdr:colOff>
      <xdr:row>68</xdr:row>
      <xdr:rowOff>109617</xdr:rowOff>
    </xdr:from>
    <xdr:to>
      <xdr:col>12</xdr:col>
      <xdr:colOff>381001</xdr:colOff>
      <xdr:row>85</xdr:row>
      <xdr:rowOff>11461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</xdr:col>
      <xdr:colOff>226016</xdr:colOff>
      <xdr:row>102</xdr:row>
      <xdr:rowOff>1</xdr:rowOff>
    </xdr:from>
    <xdr:to>
      <xdr:col>1</xdr:col>
      <xdr:colOff>1575391</xdr:colOff>
      <xdr:row>109</xdr:row>
      <xdr:rowOff>134836</xdr:rowOff>
    </xdr:to>
    <xdr:pic>
      <xdr:nvPicPr>
        <xdr:cNvPr id="9" name="Picture 6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787" y="17710043"/>
          <a:ext cx="1349375" cy="12649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411673</xdr:colOff>
      <xdr:row>118</xdr:row>
      <xdr:rowOff>129153</xdr:rowOff>
    </xdr:from>
    <xdr:to>
      <xdr:col>2</xdr:col>
      <xdr:colOff>301667</xdr:colOff>
      <xdr:row>122</xdr:row>
      <xdr:rowOff>84735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/>
      </xdr:nvPicPr>
      <xdr:blipFill rotWithShape="1">
        <a:blip xmlns:r="http://schemas.openxmlformats.org/officeDocument/2006/relationships" r:embed="rId5"/>
        <a:srcRect l="60683" t="10273" r="32026" b="84462"/>
        <a:stretch/>
      </xdr:blipFill>
      <xdr:spPr bwMode="auto">
        <a:xfrm>
          <a:off x="1170444" y="20422246"/>
          <a:ext cx="1480185" cy="601345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243689</xdr:colOff>
      <xdr:row>132</xdr:row>
      <xdr:rowOff>133533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/>
      </xdr:nvPicPr>
      <xdr:blipFill rotWithShape="1">
        <a:blip xmlns:r="http://schemas.openxmlformats.org/officeDocument/2006/relationships" r:embed="rId6"/>
        <a:srcRect l="41440" t="67710" r="35135" b="18249"/>
        <a:stretch/>
      </xdr:blipFill>
      <xdr:spPr bwMode="auto">
        <a:xfrm>
          <a:off x="762000" y="22202775"/>
          <a:ext cx="1834364" cy="619308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556971</xdr:colOff>
      <xdr:row>140</xdr:row>
      <xdr:rowOff>48432</xdr:rowOff>
    </xdr:from>
    <xdr:to>
      <xdr:col>2</xdr:col>
      <xdr:colOff>516610</xdr:colOff>
      <xdr:row>144</xdr:row>
      <xdr:rowOff>129152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/>
      </xdr:nvPicPr>
      <xdr:blipFill rotWithShape="1">
        <a:blip xmlns:r="http://schemas.openxmlformats.org/officeDocument/2006/relationships" r:embed="rId7"/>
        <a:srcRect l="41737" t="55093" r="41446" b="31754"/>
        <a:stretch/>
      </xdr:blipFill>
      <xdr:spPr bwMode="auto">
        <a:xfrm>
          <a:off x="1318971" y="24032382"/>
          <a:ext cx="1550314" cy="72842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48432</xdr:colOff>
      <xdr:row>150</xdr:row>
      <xdr:rowOff>153369</xdr:rowOff>
    </xdr:from>
    <xdr:to>
      <xdr:col>2</xdr:col>
      <xdr:colOff>1017076</xdr:colOff>
      <xdr:row>154</xdr:row>
      <xdr:rowOff>24216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/>
      </xdr:nvPicPr>
      <xdr:blipFill rotWithShape="1">
        <a:blip xmlns:r="http://schemas.openxmlformats.org/officeDocument/2006/relationships" r:embed="rId8"/>
        <a:srcRect l="32417" t="14218" r="25858" b="72452"/>
        <a:stretch/>
      </xdr:blipFill>
      <xdr:spPr bwMode="auto">
        <a:xfrm>
          <a:off x="810432" y="25756569"/>
          <a:ext cx="2559319" cy="518547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234089</xdr:colOff>
      <xdr:row>0</xdr:row>
      <xdr:rowOff>88793</xdr:rowOff>
    </xdr:from>
    <xdr:to>
      <xdr:col>15</xdr:col>
      <xdr:colOff>871781</xdr:colOff>
      <xdr:row>3</xdr:row>
      <xdr:rowOff>72649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 rotWithShape="1">
        <a:blip xmlns:r="http://schemas.openxmlformats.org/officeDocument/2006/relationships" r:embed="rId1"/>
        <a:srcRect l="71701" t="26644" r="15161" b="63652"/>
        <a:stretch/>
      </xdr:blipFill>
      <xdr:spPr bwMode="auto">
        <a:xfrm>
          <a:off x="12463220" y="88793"/>
          <a:ext cx="1412607" cy="661907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14</xdr:col>
      <xdr:colOff>201800</xdr:colOff>
      <xdr:row>4</xdr:row>
      <xdr:rowOff>72648</xdr:rowOff>
    </xdr:from>
    <xdr:to>
      <xdr:col>15</xdr:col>
      <xdr:colOff>815276</xdr:colOff>
      <xdr:row>8</xdr:row>
      <xdr:rowOff>72648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 rotWithShape="1">
        <a:blip xmlns:r="http://schemas.openxmlformats.org/officeDocument/2006/relationships" r:embed="rId2"/>
        <a:srcRect l="72997" t="35362" r="16734" b="56579"/>
        <a:stretch/>
      </xdr:blipFill>
      <xdr:spPr bwMode="auto">
        <a:xfrm>
          <a:off x="12430931" y="912140"/>
          <a:ext cx="1388391" cy="645762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14</xdr:col>
      <xdr:colOff>226016</xdr:colOff>
      <xdr:row>8</xdr:row>
      <xdr:rowOff>145295</xdr:rowOff>
    </xdr:from>
    <xdr:to>
      <xdr:col>15</xdr:col>
      <xdr:colOff>887924</xdr:colOff>
      <xdr:row>11</xdr:row>
      <xdr:rowOff>8070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/>
      </xdr:nvPicPr>
      <xdr:blipFill rotWithShape="1">
        <a:blip xmlns:r="http://schemas.openxmlformats.org/officeDocument/2006/relationships" r:embed="rId3"/>
        <a:srcRect l="71701" t="25823" r="14976" b="63815"/>
        <a:stretch/>
      </xdr:blipFill>
      <xdr:spPr bwMode="auto">
        <a:xfrm>
          <a:off x="12455147" y="1630549"/>
          <a:ext cx="1436823" cy="669979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20</xdr:col>
      <xdr:colOff>749084</xdr:colOff>
      <xdr:row>33</xdr:row>
      <xdr:rowOff>141905</xdr:rowOff>
    </xdr:from>
    <xdr:to>
      <xdr:col>29</xdr:col>
      <xdr:colOff>395528</xdr:colOff>
      <xdr:row>58</xdr:row>
      <xdr:rowOff>145297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2</xdr:col>
      <xdr:colOff>217945</xdr:colOff>
      <xdr:row>21</xdr:row>
      <xdr:rowOff>96865</xdr:rowOff>
    </xdr:from>
    <xdr:to>
      <xdr:col>2</xdr:col>
      <xdr:colOff>1246645</xdr:colOff>
      <xdr:row>24</xdr:row>
      <xdr:rowOff>55773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/>
      </xdr:nvPicPr>
      <xdr:blipFill rotWithShape="1">
        <a:blip xmlns:r="http://schemas.openxmlformats.org/officeDocument/2006/relationships" r:embed="rId5"/>
        <a:srcRect l="76306" t="18338" r="16483" b="76136"/>
        <a:stretch/>
      </xdr:blipFill>
      <xdr:spPr bwMode="auto">
        <a:xfrm>
          <a:off x="1412606" y="4342755"/>
          <a:ext cx="1028700" cy="44323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</xdr:col>
      <xdr:colOff>56503</xdr:colOff>
      <xdr:row>24</xdr:row>
      <xdr:rowOff>96865</xdr:rowOff>
    </xdr:from>
    <xdr:to>
      <xdr:col>2</xdr:col>
      <xdr:colOff>1251164</xdr:colOff>
      <xdr:row>26</xdr:row>
      <xdr:rowOff>24217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/>
      </xdr:nvPicPr>
      <xdr:blipFill rotWithShape="1">
        <a:blip xmlns:r="http://schemas.openxmlformats.org/officeDocument/2006/relationships" r:embed="rId6"/>
        <a:srcRect l="76431" t="36233" r="17105" b="59790"/>
        <a:stretch/>
      </xdr:blipFill>
      <xdr:spPr bwMode="auto">
        <a:xfrm>
          <a:off x="1251164" y="4827077"/>
          <a:ext cx="1194661" cy="250233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</xdr:col>
      <xdr:colOff>72648</xdr:colOff>
      <xdr:row>28</xdr:row>
      <xdr:rowOff>32288</xdr:rowOff>
    </xdr:from>
    <xdr:to>
      <xdr:col>2</xdr:col>
      <xdr:colOff>1557278</xdr:colOff>
      <xdr:row>31</xdr:row>
      <xdr:rowOff>104937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/>
      </xdr:nvPicPr>
      <xdr:blipFill rotWithShape="1">
        <a:blip xmlns:r="http://schemas.openxmlformats.org/officeDocument/2006/relationships" r:embed="rId7"/>
        <a:srcRect l="77135" t="23198" r="15365" b="70615"/>
        <a:stretch/>
      </xdr:blipFill>
      <xdr:spPr bwMode="auto">
        <a:xfrm>
          <a:off x="1267309" y="5408263"/>
          <a:ext cx="1484630" cy="556971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</xdr:col>
      <xdr:colOff>0</xdr:colOff>
      <xdr:row>34</xdr:row>
      <xdr:rowOff>161440</xdr:rowOff>
    </xdr:from>
    <xdr:to>
      <xdr:col>2</xdr:col>
      <xdr:colOff>1077595</xdr:colOff>
      <xdr:row>38</xdr:row>
      <xdr:rowOff>131628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/>
      </xdr:nvPicPr>
      <xdr:blipFill rotWithShape="1">
        <a:blip xmlns:r="http://schemas.openxmlformats.org/officeDocument/2006/relationships" r:embed="rId8"/>
        <a:srcRect l="76679" t="39326" r="16359" b="53602"/>
        <a:stretch/>
      </xdr:blipFill>
      <xdr:spPr bwMode="auto">
        <a:xfrm>
          <a:off x="1194661" y="6546419"/>
          <a:ext cx="1077595" cy="61595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</xdr:col>
      <xdr:colOff>80720</xdr:colOff>
      <xdr:row>38</xdr:row>
      <xdr:rowOff>149568</xdr:rowOff>
    </xdr:from>
    <xdr:to>
      <xdr:col>2</xdr:col>
      <xdr:colOff>2017454</xdr:colOff>
      <xdr:row>41</xdr:row>
      <xdr:rowOff>137224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0877" t="46458" r="48581" b="48975"/>
        <a:stretch/>
      </xdr:blipFill>
      <xdr:spPr>
        <a:xfrm>
          <a:off x="1275381" y="7180310"/>
          <a:ext cx="1936734" cy="471978"/>
        </a:xfrm>
        <a:prstGeom prst="rect">
          <a:avLst/>
        </a:prstGeom>
      </xdr:spPr>
    </xdr:pic>
    <xdr:clientData/>
  </xdr:twoCellAnchor>
  <xdr:twoCellAnchor editAs="oneCell">
    <xdr:from>
      <xdr:col>4</xdr:col>
      <xdr:colOff>56503</xdr:colOff>
      <xdr:row>35</xdr:row>
      <xdr:rowOff>40362</xdr:rowOff>
    </xdr:from>
    <xdr:to>
      <xdr:col>13</xdr:col>
      <xdr:colOff>427818</xdr:colOff>
      <xdr:row>51</xdr:row>
      <xdr:rowOff>88277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56302" t="43906" r="6219" b="31360"/>
        <a:stretch/>
      </xdr:blipFill>
      <xdr:spPr>
        <a:xfrm>
          <a:off x="4140952" y="6586781"/>
          <a:ext cx="7087247" cy="2630967"/>
        </a:xfrm>
        <a:prstGeom prst="rect">
          <a:avLst/>
        </a:prstGeom>
      </xdr:spPr>
    </xdr:pic>
    <xdr:clientData/>
  </xdr:twoCellAnchor>
  <xdr:twoCellAnchor editAs="oneCell">
    <xdr:from>
      <xdr:col>3</xdr:col>
      <xdr:colOff>758770</xdr:colOff>
      <xdr:row>52</xdr:row>
      <xdr:rowOff>72648</xdr:rowOff>
    </xdr:from>
    <xdr:to>
      <xdr:col>10</xdr:col>
      <xdr:colOff>355169</xdr:colOff>
      <xdr:row>66</xdr:row>
      <xdr:rowOff>90198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53216" t="58297" r="23153" b="23742"/>
        <a:stretch/>
      </xdr:blipFill>
      <xdr:spPr>
        <a:xfrm>
          <a:off x="4011800" y="9363559"/>
          <a:ext cx="5327543" cy="2277718"/>
        </a:xfrm>
        <a:prstGeom prst="rect">
          <a:avLst/>
        </a:prstGeom>
      </xdr:spPr>
    </xdr:pic>
    <xdr:clientData/>
  </xdr:twoCellAnchor>
  <xdr:twoCellAnchor>
    <xdr:from>
      <xdr:col>4</xdr:col>
      <xdr:colOff>113008</xdr:colOff>
      <xdr:row>26</xdr:row>
      <xdr:rowOff>8072</xdr:rowOff>
    </xdr:from>
    <xdr:to>
      <xdr:col>7</xdr:col>
      <xdr:colOff>185655</xdr:colOff>
      <xdr:row>29</xdr:row>
      <xdr:rowOff>48434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17" t="82665" r="34362" b="3936"/>
        <a:stretch/>
      </xdr:blipFill>
      <xdr:spPr bwMode="auto">
        <a:xfrm>
          <a:off x="4197457" y="5061165"/>
          <a:ext cx="2357033" cy="524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684508</xdr:colOff>
      <xdr:row>69</xdr:row>
      <xdr:rowOff>4682</xdr:rowOff>
    </xdr:from>
    <xdr:to>
      <xdr:col>12</xdr:col>
      <xdr:colOff>590872</xdr:colOff>
      <xdr:row>84</xdr:row>
      <xdr:rowOff>51822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6</xdr:col>
      <xdr:colOff>6458</xdr:colOff>
      <xdr:row>88</xdr:row>
      <xdr:rowOff>158050</xdr:rowOff>
    </xdr:from>
    <xdr:to>
      <xdr:col>12</xdr:col>
      <xdr:colOff>607017</xdr:colOff>
      <xdr:row>105</xdr:row>
      <xdr:rowOff>59895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6</xdr:col>
      <xdr:colOff>6457</xdr:colOff>
      <xdr:row>108</xdr:row>
      <xdr:rowOff>4683</xdr:rowOff>
    </xdr:from>
    <xdr:to>
      <xdr:col>12</xdr:col>
      <xdr:colOff>607016</xdr:colOff>
      <xdr:row>124</xdr:row>
      <xdr:rowOff>67967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Estudios%20hidrol&#243;gicos%202014%20-%20GORE\ESTUDIO%20DE%20M&#193;XIMAS%20AVENIDAS\Colegio%20Santa%20Rosa\I-D-F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udal max"/>
      <sheetName val="PP Abancay"/>
    </sheetNames>
    <sheetDataSet>
      <sheetData sheetId="0">
        <row r="5">
          <cell r="J5" t="str">
            <v>T= 5 años</v>
          </cell>
          <cell r="K5" t="str">
            <v>T= 10 años</v>
          </cell>
          <cell r="L5" t="str">
            <v>T= 20 años</v>
          </cell>
          <cell r="M5" t="str">
            <v>T= 50 años</v>
          </cell>
        </row>
        <row r="6">
          <cell r="I6">
            <v>10</v>
          </cell>
          <cell r="J6">
            <v>59.28</v>
          </cell>
          <cell r="K6">
            <v>71.14</v>
          </cell>
          <cell r="L6">
            <v>85.38</v>
          </cell>
          <cell r="M6">
            <v>108.67</v>
          </cell>
        </row>
        <row r="7">
          <cell r="I7">
            <v>20</v>
          </cell>
          <cell r="J7">
            <v>35.25</v>
          </cell>
          <cell r="K7">
            <v>42.3</v>
          </cell>
          <cell r="L7">
            <v>50.77</v>
          </cell>
          <cell r="M7">
            <v>64.61</v>
          </cell>
        </row>
        <row r="8">
          <cell r="I8">
            <v>30</v>
          </cell>
          <cell r="J8">
            <v>26</v>
          </cell>
          <cell r="K8">
            <v>31.21</v>
          </cell>
          <cell r="L8">
            <v>37.450000000000003</v>
          </cell>
          <cell r="M8">
            <v>47.67</v>
          </cell>
        </row>
        <row r="9">
          <cell r="I9">
            <v>40</v>
          </cell>
          <cell r="J9">
            <v>20.96</v>
          </cell>
          <cell r="K9">
            <v>25.15</v>
          </cell>
          <cell r="L9">
            <v>30.19</v>
          </cell>
          <cell r="M9">
            <v>38.42</v>
          </cell>
        </row>
        <row r="10">
          <cell r="I10">
            <v>50</v>
          </cell>
          <cell r="J10">
            <v>17.73</v>
          </cell>
          <cell r="K10">
            <v>21.28</v>
          </cell>
          <cell r="L10">
            <v>25.53</v>
          </cell>
          <cell r="M10">
            <v>32.5</v>
          </cell>
        </row>
        <row r="11">
          <cell r="I11">
            <v>60</v>
          </cell>
          <cell r="J11">
            <v>15.46</v>
          </cell>
          <cell r="K11">
            <v>18.559999999999999</v>
          </cell>
          <cell r="L11">
            <v>22.27</v>
          </cell>
          <cell r="M11">
            <v>28.35</v>
          </cell>
        </row>
        <row r="12">
          <cell r="I12">
            <v>70</v>
          </cell>
          <cell r="J12">
            <v>13.77</v>
          </cell>
          <cell r="K12">
            <v>16.53</v>
          </cell>
          <cell r="L12">
            <v>19.84</v>
          </cell>
          <cell r="M12">
            <v>25.25</v>
          </cell>
        </row>
        <row r="13">
          <cell r="I13">
            <v>80</v>
          </cell>
          <cell r="J13">
            <v>12.46</v>
          </cell>
          <cell r="K13">
            <v>14.96</v>
          </cell>
          <cell r="L13">
            <v>17.95</v>
          </cell>
          <cell r="M13">
            <v>22.84</v>
          </cell>
        </row>
        <row r="14">
          <cell r="I14">
            <v>90</v>
          </cell>
          <cell r="J14">
            <v>11.41</v>
          </cell>
          <cell r="K14">
            <v>13.69</v>
          </cell>
          <cell r="L14">
            <v>16.43</v>
          </cell>
          <cell r="M14">
            <v>20.91</v>
          </cell>
        </row>
        <row r="15">
          <cell r="I15">
            <v>100</v>
          </cell>
          <cell r="J15">
            <v>10.54</v>
          </cell>
          <cell r="K15">
            <v>12.65</v>
          </cell>
          <cell r="L15">
            <v>15.18</v>
          </cell>
          <cell r="M15">
            <v>19.32</v>
          </cell>
        </row>
        <row r="16">
          <cell r="I16">
            <v>110</v>
          </cell>
          <cell r="J16">
            <v>9.81</v>
          </cell>
          <cell r="K16">
            <v>11.78</v>
          </cell>
          <cell r="L16">
            <v>14.14</v>
          </cell>
          <cell r="M16">
            <v>17.989999999999998</v>
          </cell>
        </row>
        <row r="17">
          <cell r="I17">
            <v>120</v>
          </cell>
          <cell r="J17">
            <v>9.19</v>
          </cell>
          <cell r="K17">
            <v>11.03</v>
          </cell>
          <cell r="L17">
            <v>13.24</v>
          </cell>
          <cell r="M17">
            <v>16.850000000000001</v>
          </cell>
        </row>
      </sheetData>
      <sheetData sheetId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0.bin"/><Relationship Id="rId3" Type="http://schemas.openxmlformats.org/officeDocument/2006/relationships/vmlDrawing" Target="../drawings/vmlDrawing2.vml"/><Relationship Id="rId7" Type="http://schemas.openxmlformats.org/officeDocument/2006/relationships/image" Target="../media/image13.wmf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9.bin"/><Relationship Id="rId5" Type="http://schemas.openxmlformats.org/officeDocument/2006/relationships/image" Target="../media/image12.wmf"/><Relationship Id="rId4" Type="http://schemas.openxmlformats.org/officeDocument/2006/relationships/oleObject" Target="../embeddings/oleObject8.bin"/><Relationship Id="rId9" Type="http://schemas.openxmlformats.org/officeDocument/2006/relationships/image" Target="../media/image14.wmf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2"/>
  <dimension ref="A2:M164"/>
  <sheetViews>
    <sheetView view="pageBreakPreview" topLeftCell="A67" zoomScale="112" zoomScaleNormal="100" zoomScaleSheetLayoutView="112" workbookViewId="0">
      <selection activeCell="H80" sqref="F68:H80"/>
    </sheetView>
  </sheetViews>
  <sheetFormatPr baseColWidth="10" defaultRowHeight="13.2" x14ac:dyDescent="0.25"/>
  <cols>
    <col min="2" max="2" width="10" customWidth="1"/>
    <col min="3" max="3" width="13.33203125" customWidth="1"/>
    <col min="5" max="5" width="14.109375" customWidth="1"/>
    <col min="6" max="6" width="15.88671875" customWidth="1"/>
    <col min="7" max="7" width="22.5546875" customWidth="1"/>
    <col min="8" max="8" width="16.6640625" customWidth="1"/>
    <col min="9" max="9" width="14.88671875" customWidth="1"/>
  </cols>
  <sheetData>
    <row r="2" spans="1:9" x14ac:dyDescent="0.25">
      <c r="A2" s="74" t="s">
        <v>3</v>
      </c>
      <c r="B2" s="48"/>
      <c r="C2" s="48"/>
      <c r="D2" s="48"/>
      <c r="E2" s="48"/>
      <c r="F2" s="48"/>
      <c r="G2" s="48"/>
      <c r="H2" s="48"/>
      <c r="I2" s="48"/>
    </row>
    <row r="3" spans="1:9" x14ac:dyDescent="0.25">
      <c r="A3" s="74" t="s">
        <v>117</v>
      </c>
      <c r="B3" s="48"/>
      <c r="C3" s="48"/>
      <c r="D3" s="48"/>
      <c r="E3" s="48"/>
      <c r="F3" s="48"/>
      <c r="G3" s="48"/>
      <c r="H3" s="48"/>
      <c r="I3" s="48"/>
    </row>
    <row r="4" spans="1:9" x14ac:dyDescent="0.25">
      <c r="A4" s="49"/>
      <c r="B4" s="50"/>
      <c r="C4" s="49"/>
      <c r="D4" s="49"/>
      <c r="E4" s="49"/>
      <c r="F4" s="49"/>
      <c r="G4" s="49"/>
      <c r="H4" s="49"/>
      <c r="I4" s="49"/>
    </row>
    <row r="5" spans="1:9" x14ac:dyDescent="0.25">
      <c r="A5" s="49"/>
      <c r="B5" s="51" t="s">
        <v>7</v>
      </c>
      <c r="C5" s="52"/>
      <c r="D5" s="52"/>
      <c r="E5" s="52"/>
      <c r="F5" s="49"/>
      <c r="G5" s="49"/>
      <c r="H5" s="49"/>
      <c r="I5" s="49"/>
    </row>
    <row r="6" spans="1:9" x14ac:dyDescent="0.25">
      <c r="A6" s="49"/>
      <c r="B6" s="50"/>
      <c r="C6" s="49"/>
      <c r="D6" s="49"/>
      <c r="E6" s="49"/>
      <c r="F6" s="49"/>
      <c r="G6" s="49"/>
      <c r="H6" s="49"/>
      <c r="I6" s="49"/>
    </row>
    <row r="7" spans="1:9" x14ac:dyDescent="0.25">
      <c r="A7" s="49"/>
      <c r="B7" s="50"/>
      <c r="C7" s="49"/>
      <c r="D7" s="49"/>
      <c r="E7" s="49"/>
      <c r="F7" s="49"/>
      <c r="G7" s="49"/>
      <c r="H7" s="49"/>
      <c r="I7" s="49"/>
    </row>
    <row r="8" spans="1:9" x14ac:dyDescent="0.25">
      <c r="A8" s="49"/>
      <c r="B8" s="50" t="s">
        <v>18</v>
      </c>
      <c r="C8" s="49" t="s">
        <v>39</v>
      </c>
      <c r="D8" s="49"/>
      <c r="E8" s="49"/>
      <c r="F8" s="49"/>
      <c r="G8" s="49"/>
      <c r="H8" s="49"/>
      <c r="I8" s="49"/>
    </row>
    <row r="9" spans="1:9" x14ac:dyDescent="0.25">
      <c r="A9" s="49"/>
      <c r="B9" s="50" t="s">
        <v>9</v>
      </c>
      <c r="C9" s="53" t="s">
        <v>40</v>
      </c>
      <c r="D9" s="49"/>
      <c r="E9" s="49"/>
      <c r="F9" s="49"/>
      <c r="G9" s="49"/>
      <c r="H9" s="49"/>
      <c r="I9" s="49"/>
    </row>
    <row r="10" spans="1:9" x14ac:dyDescent="0.25">
      <c r="A10" s="49"/>
      <c r="B10" s="50" t="s">
        <v>19</v>
      </c>
      <c r="C10" s="49"/>
      <c r="D10" s="49"/>
      <c r="E10" s="49"/>
      <c r="F10" s="49"/>
      <c r="G10" s="49"/>
      <c r="H10" s="49"/>
      <c r="I10" s="49"/>
    </row>
    <row r="11" spans="1:9" x14ac:dyDescent="0.25">
      <c r="A11" s="49"/>
      <c r="B11" s="50" t="s">
        <v>8</v>
      </c>
      <c r="C11" s="54">
        <v>342328.00977800001</v>
      </c>
      <c r="D11" s="49" t="s">
        <v>0</v>
      </c>
      <c r="E11" s="55">
        <f>C11/1000</f>
        <v>342.32800977800002</v>
      </c>
      <c r="F11" s="49" t="s">
        <v>1</v>
      </c>
      <c r="G11" s="49"/>
      <c r="H11" s="49"/>
      <c r="I11" s="49"/>
    </row>
    <row r="12" spans="1:9" ht="14.4" x14ac:dyDescent="0.25">
      <c r="A12" s="49"/>
      <c r="B12" s="50" t="s">
        <v>9</v>
      </c>
      <c r="C12" s="49">
        <v>2442761345.25</v>
      </c>
      <c r="D12" s="49" t="s">
        <v>101</v>
      </c>
      <c r="E12" s="55">
        <f>C12/1000000</f>
        <v>2442.76134525</v>
      </c>
      <c r="F12" s="49" t="s">
        <v>102</v>
      </c>
      <c r="G12" s="49"/>
      <c r="H12" s="49"/>
      <c r="I12" s="49"/>
    </row>
    <row r="13" spans="1:9" x14ac:dyDescent="0.25">
      <c r="A13" s="49"/>
      <c r="B13" s="50" t="s">
        <v>10</v>
      </c>
      <c r="C13" s="49"/>
      <c r="D13" s="49"/>
      <c r="E13" s="49"/>
      <c r="F13" s="49"/>
      <c r="G13" s="49"/>
      <c r="H13" s="49"/>
      <c r="I13" s="49"/>
    </row>
    <row r="14" spans="1:9" x14ac:dyDescent="0.25">
      <c r="A14" s="49"/>
      <c r="B14" s="50" t="s">
        <v>11</v>
      </c>
      <c r="C14" s="54">
        <f>0.2821*C11*(C12^(-1/2))</f>
        <v>1.9539120077226895</v>
      </c>
      <c r="D14" s="49"/>
      <c r="E14" s="49"/>
      <c r="F14" s="49" t="s">
        <v>38</v>
      </c>
      <c r="G14" s="49" t="s">
        <v>221</v>
      </c>
      <c r="H14" s="49"/>
      <c r="I14" s="49"/>
    </row>
    <row r="15" spans="1:9" x14ac:dyDescent="0.25">
      <c r="A15" s="49"/>
      <c r="B15" s="50"/>
      <c r="C15" s="49"/>
      <c r="D15" s="49"/>
      <c r="E15" s="49"/>
      <c r="F15" s="49"/>
      <c r="G15" s="49"/>
      <c r="H15" s="49"/>
      <c r="I15" s="49"/>
    </row>
    <row r="16" spans="1:9" x14ac:dyDescent="0.25">
      <c r="A16" s="49"/>
      <c r="B16" s="51" t="s">
        <v>12</v>
      </c>
      <c r="C16" s="52"/>
      <c r="D16" s="52"/>
      <c r="E16" s="52"/>
      <c r="F16" s="49"/>
      <c r="G16" s="49"/>
      <c r="H16" s="49"/>
      <c r="I16" s="49"/>
    </row>
    <row r="17" spans="1:9" x14ac:dyDescent="0.25">
      <c r="A17" s="49"/>
      <c r="B17" s="50"/>
      <c r="C17" s="49"/>
      <c r="D17" s="49"/>
      <c r="E17" s="49"/>
      <c r="F17" s="49"/>
      <c r="G17" s="49"/>
      <c r="H17" s="49"/>
      <c r="I17" s="49"/>
    </row>
    <row r="18" spans="1:9" x14ac:dyDescent="0.25">
      <c r="A18" s="49"/>
      <c r="B18" s="50"/>
      <c r="C18" s="49"/>
      <c r="D18" s="49"/>
      <c r="E18" s="49"/>
      <c r="F18" s="49"/>
      <c r="G18" s="49"/>
      <c r="H18" s="49"/>
      <c r="I18" s="49"/>
    </row>
    <row r="19" spans="1:9" x14ac:dyDescent="0.25">
      <c r="A19" s="49"/>
      <c r="B19" s="50"/>
      <c r="C19" s="49"/>
      <c r="D19" s="49"/>
      <c r="E19" s="49"/>
      <c r="F19" s="49"/>
      <c r="G19" s="49"/>
      <c r="H19" s="49"/>
      <c r="I19" s="49"/>
    </row>
    <row r="20" spans="1:9" x14ac:dyDescent="0.25">
      <c r="A20" s="49"/>
      <c r="B20" s="50"/>
      <c r="C20" s="49"/>
      <c r="D20" s="49"/>
      <c r="E20" s="49"/>
      <c r="F20" s="49"/>
      <c r="G20" s="49"/>
      <c r="H20" s="49"/>
      <c r="I20" s="49"/>
    </row>
    <row r="21" spans="1:9" x14ac:dyDescent="0.25">
      <c r="A21" s="49"/>
      <c r="B21" s="50"/>
      <c r="C21" s="49"/>
      <c r="D21" s="49"/>
      <c r="E21" s="49"/>
      <c r="F21" s="49"/>
      <c r="G21" s="49"/>
      <c r="H21" s="49"/>
      <c r="I21" s="49"/>
    </row>
    <row r="22" spans="1:9" x14ac:dyDescent="0.25">
      <c r="A22" s="49"/>
      <c r="B22" s="50"/>
      <c r="C22" s="49"/>
      <c r="D22" s="49"/>
      <c r="E22" s="49"/>
      <c r="F22" s="49"/>
      <c r="G22" s="49"/>
      <c r="H22" s="49"/>
      <c r="I22" s="49"/>
    </row>
    <row r="23" spans="1:9" x14ac:dyDescent="0.25">
      <c r="A23" s="49"/>
      <c r="B23" s="50"/>
      <c r="C23" s="49"/>
      <c r="D23" s="49"/>
      <c r="E23" s="49"/>
      <c r="F23" s="49"/>
      <c r="G23" s="49"/>
      <c r="H23" s="49"/>
      <c r="I23" s="49"/>
    </row>
    <row r="24" spans="1:9" x14ac:dyDescent="0.25">
      <c r="A24" s="49"/>
      <c r="B24" s="50"/>
      <c r="C24" s="49"/>
      <c r="D24" s="49"/>
      <c r="E24" s="49"/>
      <c r="F24" s="49"/>
      <c r="G24" s="49"/>
      <c r="H24" s="49"/>
      <c r="I24" s="49"/>
    </row>
    <row r="25" spans="1:9" x14ac:dyDescent="0.25">
      <c r="A25" s="49"/>
      <c r="B25" s="50"/>
      <c r="C25" s="49"/>
      <c r="D25" s="49"/>
      <c r="E25" s="49"/>
      <c r="F25" s="49"/>
      <c r="G25" s="49"/>
      <c r="H25" s="49"/>
      <c r="I25" s="49"/>
    </row>
    <row r="26" spans="1:9" x14ac:dyDescent="0.25">
      <c r="A26" s="49"/>
      <c r="B26" s="50"/>
      <c r="C26" s="49"/>
      <c r="D26" s="49"/>
      <c r="E26" s="49"/>
      <c r="F26" s="49"/>
      <c r="G26" s="49"/>
      <c r="H26" s="49"/>
      <c r="I26" s="49"/>
    </row>
    <row r="27" spans="1:9" x14ac:dyDescent="0.25">
      <c r="A27" s="49"/>
      <c r="B27" s="50" t="s">
        <v>13</v>
      </c>
      <c r="C27" s="49"/>
      <c r="D27" s="49"/>
      <c r="E27" s="49"/>
      <c r="F27" s="49"/>
      <c r="G27" s="49"/>
      <c r="H27" s="49"/>
      <c r="I27" s="49"/>
    </row>
    <row r="28" spans="1:9" x14ac:dyDescent="0.25">
      <c r="A28" s="49"/>
      <c r="B28" s="50" t="s">
        <v>14</v>
      </c>
      <c r="C28" s="54">
        <f>($C$14*( $E$12^0.5 )/1.12 )* ( 1- ( 1.12/$C$14)*   ( (   ( $C$14/1.12 )^2   )-1 )^0.5 )</f>
        <v>15.571238530866051</v>
      </c>
      <c r="D28" s="49" t="s">
        <v>1</v>
      </c>
      <c r="E28" s="49" t="s">
        <v>212</v>
      </c>
      <c r="F28" s="49"/>
      <c r="G28" s="49"/>
      <c r="H28" s="49"/>
      <c r="I28" s="49"/>
    </row>
    <row r="29" spans="1:9" x14ac:dyDescent="0.25">
      <c r="A29" s="49"/>
      <c r="B29" s="50" t="s">
        <v>15</v>
      </c>
      <c r="C29" s="54">
        <f>($C$14*( $E$12^0.5 )/1.12 )* ( 1+ ( 1.12/$C$14)*   ( (   ( $C$14/1.12 )^2   )-1 )^0.5 )</f>
        <v>156.87649639480142</v>
      </c>
      <c r="D29" s="49" t="s">
        <v>1</v>
      </c>
      <c r="E29" s="49" t="s">
        <v>211</v>
      </c>
      <c r="F29" s="49"/>
      <c r="G29" s="49"/>
      <c r="H29" s="49"/>
      <c r="I29" s="49"/>
    </row>
    <row r="30" spans="1:9" x14ac:dyDescent="0.25">
      <c r="A30" s="49"/>
      <c r="B30" s="56"/>
      <c r="C30" s="57"/>
      <c r="D30" s="58"/>
      <c r="E30" s="58"/>
      <c r="F30" s="58"/>
      <c r="G30" s="58"/>
      <c r="H30" s="58"/>
      <c r="I30" s="58"/>
    </row>
    <row r="31" spans="1:9" s="11" customFormat="1" x14ac:dyDescent="0.25">
      <c r="A31" s="49"/>
      <c r="B31" s="59" t="s">
        <v>210</v>
      </c>
      <c r="C31" s="60"/>
      <c r="D31" s="60"/>
      <c r="E31" s="60"/>
      <c r="F31" s="60"/>
      <c r="G31" s="60"/>
      <c r="H31" s="60"/>
      <c r="I31" s="60"/>
    </row>
    <row r="32" spans="1:9" s="11" customFormat="1" x14ac:dyDescent="0.25">
      <c r="A32" s="49"/>
      <c r="B32" s="59" t="s">
        <v>4</v>
      </c>
      <c r="C32" s="60"/>
      <c r="D32" s="60"/>
      <c r="E32" s="60"/>
      <c r="F32" s="60"/>
      <c r="G32" s="60"/>
      <c r="H32" s="60"/>
      <c r="I32" s="60"/>
    </row>
    <row r="33" spans="1:13" ht="52.5" customHeight="1" x14ac:dyDescent="0.25">
      <c r="A33" s="78"/>
      <c r="B33" s="121" t="s">
        <v>98</v>
      </c>
      <c r="C33" s="121" t="s">
        <v>143</v>
      </c>
      <c r="D33" s="122" t="s">
        <v>144</v>
      </c>
      <c r="E33" s="123" t="s">
        <v>145</v>
      </c>
      <c r="F33" s="123" t="s">
        <v>99</v>
      </c>
      <c r="G33" s="123" t="s">
        <v>100</v>
      </c>
      <c r="H33" s="62"/>
      <c r="I33" s="61"/>
    </row>
    <row r="34" spans="1:13" ht="13.8" x14ac:dyDescent="0.25">
      <c r="A34" s="78"/>
      <c r="B34" s="124">
        <v>2170</v>
      </c>
      <c r="C34" s="125">
        <v>0</v>
      </c>
      <c r="D34" s="126">
        <v>0</v>
      </c>
      <c r="E34" s="126">
        <f>C45</f>
        <v>2442.7610000000004</v>
      </c>
      <c r="F34" s="127">
        <f t="shared" ref="F34:F44" si="0">(C34/$C$45)*100</f>
        <v>0</v>
      </c>
      <c r="G34" s="127">
        <f t="shared" ref="G34:G44" si="1">(E34/$C$45)*100</f>
        <v>100</v>
      </c>
      <c r="H34" s="62"/>
      <c r="I34" s="61"/>
    </row>
    <row r="35" spans="1:13" ht="13.8" x14ac:dyDescent="0.3">
      <c r="A35" s="136"/>
      <c r="B35" s="124">
        <v>2480</v>
      </c>
      <c r="C35" s="128">
        <v>7.5759999999999996</v>
      </c>
      <c r="D35" s="129">
        <f>D34+C35</f>
        <v>7.5759999999999996</v>
      </c>
      <c r="E35" s="129">
        <f>E34-D35</f>
        <v>2435.1850000000004</v>
      </c>
      <c r="F35" s="127">
        <f t="shared" si="0"/>
        <v>0.31014086109938704</v>
      </c>
      <c r="G35" s="127">
        <f t="shared" si="1"/>
        <v>99.689859138900616</v>
      </c>
      <c r="H35" s="63"/>
      <c r="I35" s="75"/>
    </row>
    <row r="36" spans="1:13" ht="13.8" x14ac:dyDescent="0.3">
      <c r="A36" s="78"/>
      <c r="B36" s="130">
        <v>2790</v>
      </c>
      <c r="C36" s="128">
        <v>35.279000000000003</v>
      </c>
      <c r="D36" s="129">
        <f>D35+C36</f>
        <v>42.855000000000004</v>
      </c>
      <c r="E36" s="129">
        <f>E34-D36</f>
        <v>2399.9060000000004</v>
      </c>
      <c r="F36" s="127">
        <f t="shared" si="0"/>
        <v>1.4442264306659554</v>
      </c>
      <c r="G36" s="127">
        <f t="shared" si="1"/>
        <v>98.245632708234652</v>
      </c>
      <c r="H36" s="63"/>
      <c r="I36" s="75"/>
    </row>
    <row r="37" spans="1:13" ht="13.8" x14ac:dyDescent="0.3">
      <c r="A37" s="78"/>
      <c r="B37" s="130">
        <v>3100</v>
      </c>
      <c r="C37" s="128">
        <v>85.894999999999996</v>
      </c>
      <c r="D37" s="129">
        <f>D36+C37</f>
        <v>128.75</v>
      </c>
      <c r="E37" s="129">
        <f>E34-D37</f>
        <v>2314.0110000000004</v>
      </c>
      <c r="F37" s="127">
        <f t="shared" si="0"/>
        <v>3.5163079810100117</v>
      </c>
      <c r="G37" s="127">
        <f t="shared" si="1"/>
        <v>94.72932472722465</v>
      </c>
      <c r="H37" s="63"/>
      <c r="I37" s="75"/>
    </row>
    <row r="38" spans="1:13" ht="13.8" x14ac:dyDescent="0.3">
      <c r="A38" s="78"/>
      <c r="B38" s="130">
        <v>3410</v>
      </c>
      <c r="C38" s="128">
        <v>143.97800000000001</v>
      </c>
      <c r="D38" s="129">
        <f t="shared" ref="D38:D43" si="2">D37+C38</f>
        <v>272.72800000000001</v>
      </c>
      <c r="E38" s="129">
        <f>E34-D38</f>
        <v>2170.0330000000004</v>
      </c>
      <c r="F38" s="127">
        <f t="shared" si="0"/>
        <v>5.8940682285332047</v>
      </c>
      <c r="G38" s="127">
        <f t="shared" si="1"/>
        <v>88.835256498691436</v>
      </c>
      <c r="H38" s="63"/>
      <c r="I38" s="75"/>
    </row>
    <row r="39" spans="1:13" ht="13.8" x14ac:dyDescent="0.3">
      <c r="A39" s="78"/>
      <c r="B39" s="124">
        <v>3720</v>
      </c>
      <c r="C39" s="128">
        <v>221.06299999999999</v>
      </c>
      <c r="D39" s="129">
        <f t="shared" si="2"/>
        <v>493.791</v>
      </c>
      <c r="E39" s="129">
        <f>E34-D39</f>
        <v>1948.9700000000005</v>
      </c>
      <c r="F39" s="127">
        <f t="shared" si="0"/>
        <v>9.0497187403925281</v>
      </c>
      <c r="G39" s="127">
        <f t="shared" si="1"/>
        <v>79.785537758298915</v>
      </c>
      <c r="H39" s="63"/>
      <c r="I39" s="75"/>
      <c r="K39" s="12" t="s">
        <v>26</v>
      </c>
      <c r="L39" s="12" t="s">
        <v>27</v>
      </c>
      <c r="M39" s="12" t="s">
        <v>5</v>
      </c>
    </row>
    <row r="40" spans="1:13" ht="13.8" x14ac:dyDescent="0.3">
      <c r="A40" s="79"/>
      <c r="B40" s="130">
        <v>4030</v>
      </c>
      <c r="C40" s="128">
        <v>285.75700000000001</v>
      </c>
      <c r="D40" s="129">
        <f t="shared" si="2"/>
        <v>779.548</v>
      </c>
      <c r="E40" s="129">
        <f>E34-D40</f>
        <v>1663.2130000000004</v>
      </c>
      <c r="F40" s="127">
        <f t="shared" si="0"/>
        <v>11.698115370271589</v>
      </c>
      <c r="G40" s="127">
        <f t="shared" si="1"/>
        <v>68.087422388027321</v>
      </c>
      <c r="H40" s="64"/>
      <c r="I40" s="61"/>
      <c r="J40" s="5"/>
      <c r="K40" s="13">
        <f>B41</f>
        <v>4340</v>
      </c>
      <c r="L40" s="3">
        <f>F40</f>
        <v>11.698115370271589</v>
      </c>
      <c r="M40" s="3">
        <f>C40</f>
        <v>285.75700000000001</v>
      </c>
    </row>
    <row r="41" spans="1:13" ht="13.8" x14ac:dyDescent="0.3">
      <c r="A41" s="79"/>
      <c r="B41" s="130">
        <v>4340</v>
      </c>
      <c r="C41" s="128">
        <v>564.15200000000004</v>
      </c>
      <c r="D41" s="129">
        <f t="shared" si="2"/>
        <v>1343.7</v>
      </c>
      <c r="E41" s="129">
        <f>E34-D41</f>
        <v>1099.0610000000004</v>
      </c>
      <c r="F41" s="127">
        <f t="shared" si="0"/>
        <v>23.094850458149608</v>
      </c>
      <c r="G41" s="127">
        <f t="shared" si="1"/>
        <v>44.99257192987772</v>
      </c>
      <c r="H41" s="64"/>
      <c r="I41" s="65"/>
      <c r="J41" s="6"/>
      <c r="K41" s="13">
        <f>B42</f>
        <v>4650</v>
      </c>
      <c r="L41" s="3">
        <f t="shared" ref="L41:L44" si="3">F41</f>
        <v>23.094850458149608</v>
      </c>
      <c r="M41" s="3">
        <f t="shared" ref="M41:M44" si="4">C41</f>
        <v>564.15200000000004</v>
      </c>
    </row>
    <row r="42" spans="1:13" ht="13.8" x14ac:dyDescent="0.3">
      <c r="A42" s="79"/>
      <c r="B42" s="130">
        <v>4650</v>
      </c>
      <c r="C42" s="128">
        <v>926.87300000000005</v>
      </c>
      <c r="D42" s="129">
        <f t="shared" si="2"/>
        <v>2270.5730000000003</v>
      </c>
      <c r="E42" s="129">
        <f>E34-D42</f>
        <v>172.1880000000001</v>
      </c>
      <c r="F42" s="127">
        <f t="shared" si="0"/>
        <v>37.943662928956208</v>
      </c>
      <c r="G42" s="127">
        <f t="shared" si="1"/>
        <v>7.0489090009215012</v>
      </c>
      <c r="H42" s="64"/>
      <c r="I42" s="65"/>
      <c r="J42" s="6"/>
      <c r="K42" s="13">
        <f>B43</f>
        <v>4960</v>
      </c>
      <c r="L42" s="3">
        <f t="shared" si="3"/>
        <v>37.943662928956208</v>
      </c>
      <c r="M42" s="3">
        <f t="shared" si="4"/>
        <v>926.87300000000005</v>
      </c>
    </row>
    <row r="43" spans="1:13" ht="13.8" x14ac:dyDescent="0.3">
      <c r="A43" s="79"/>
      <c r="B43" s="124">
        <v>4960</v>
      </c>
      <c r="C43" s="128">
        <v>171.73500000000001</v>
      </c>
      <c r="D43" s="129">
        <f t="shared" si="2"/>
        <v>2442.3080000000004</v>
      </c>
      <c r="E43" s="129">
        <f>E34-D43</f>
        <v>0.45299999999997453</v>
      </c>
      <c r="F43" s="127">
        <f t="shared" si="0"/>
        <v>7.0303644114180619</v>
      </c>
      <c r="G43" s="127">
        <f t="shared" si="1"/>
        <v>1.8544589503433798E-2</v>
      </c>
      <c r="H43" s="64"/>
      <c r="I43" s="65"/>
      <c r="J43" s="6"/>
      <c r="K43" s="13">
        <f>B44</f>
        <v>5270</v>
      </c>
      <c r="L43" s="3">
        <f t="shared" si="3"/>
        <v>7.0303644114180619</v>
      </c>
      <c r="M43" s="3">
        <f t="shared" si="4"/>
        <v>171.73500000000001</v>
      </c>
    </row>
    <row r="44" spans="1:13" ht="13.8" x14ac:dyDescent="0.3">
      <c r="A44" s="79"/>
      <c r="B44" s="130">
        <v>5270</v>
      </c>
      <c r="C44" s="128">
        <v>0.45300000000000001</v>
      </c>
      <c r="D44" s="129">
        <f>D43+C44</f>
        <v>2442.7610000000004</v>
      </c>
      <c r="E44" s="129">
        <f>E34-D44</f>
        <v>0</v>
      </c>
      <c r="F44" s="127">
        <f t="shared" si="0"/>
        <v>1.8544589503434839E-2</v>
      </c>
      <c r="G44" s="127">
        <f t="shared" si="1"/>
        <v>0</v>
      </c>
      <c r="H44" s="64"/>
      <c r="I44" s="65"/>
      <c r="J44" s="6"/>
      <c r="K44" s="13" t="e">
        <f>#REF!</f>
        <v>#REF!</v>
      </c>
      <c r="L44" s="3">
        <f t="shared" si="3"/>
        <v>1.8544589503434839E-2</v>
      </c>
      <c r="M44" s="3">
        <f t="shared" si="4"/>
        <v>0.45300000000000001</v>
      </c>
    </row>
    <row r="45" spans="1:13" ht="13.8" x14ac:dyDescent="0.3">
      <c r="A45" s="49"/>
      <c r="B45" s="131"/>
      <c r="C45" s="132">
        <f>SUM(C34:C44)</f>
        <v>2442.7610000000004</v>
      </c>
      <c r="D45" s="133"/>
      <c r="E45" s="131"/>
      <c r="F45" s="134">
        <f>SUM(F34:F44)</f>
        <v>99.999999999999986</v>
      </c>
      <c r="G45" s="135"/>
      <c r="H45" s="49"/>
      <c r="I45" s="49"/>
      <c r="J45" s="4"/>
      <c r="K45" s="4"/>
    </row>
    <row r="46" spans="1:13" x14ac:dyDescent="0.25">
      <c r="A46" s="49"/>
      <c r="B46" s="49"/>
      <c r="C46" s="49"/>
      <c r="D46" s="66"/>
      <c r="E46" s="49"/>
      <c r="F46" s="49"/>
      <c r="G46" s="54"/>
      <c r="H46" s="49"/>
      <c r="I46" s="49"/>
      <c r="J46" s="4"/>
      <c r="K46" s="4"/>
    </row>
    <row r="47" spans="1:13" x14ac:dyDescent="0.25">
      <c r="A47" s="49"/>
      <c r="B47" s="49"/>
      <c r="C47" s="49"/>
      <c r="D47" s="66"/>
      <c r="E47" s="49"/>
      <c r="F47" s="49"/>
      <c r="G47" s="54"/>
      <c r="H47" s="49"/>
      <c r="I47" s="49"/>
      <c r="J47" s="4"/>
      <c r="K47" s="4"/>
    </row>
    <row r="48" spans="1:13" x14ac:dyDescent="0.25">
      <c r="A48" s="49"/>
      <c r="B48" s="49"/>
      <c r="C48" s="49"/>
      <c r="D48" s="66"/>
      <c r="E48" s="49"/>
      <c r="F48" s="49"/>
      <c r="G48" s="54"/>
      <c r="H48" s="49"/>
      <c r="I48" s="49"/>
      <c r="J48" s="4"/>
      <c r="K48" s="4"/>
    </row>
    <row r="49" spans="1:11" x14ac:dyDescent="0.25">
      <c r="A49" s="49"/>
      <c r="B49" s="49"/>
      <c r="C49" s="49"/>
      <c r="D49" s="66"/>
      <c r="E49" s="49"/>
      <c r="F49" s="49"/>
      <c r="G49" s="54"/>
      <c r="H49" s="49"/>
      <c r="I49" s="49"/>
      <c r="J49" s="4"/>
      <c r="K49" s="4"/>
    </row>
    <row r="50" spans="1:11" x14ac:dyDescent="0.25">
      <c r="A50" s="49"/>
      <c r="B50" s="49"/>
      <c r="C50" s="49"/>
      <c r="D50" s="66"/>
      <c r="E50" s="49"/>
      <c r="F50" s="49"/>
      <c r="G50" s="54"/>
      <c r="H50" s="49"/>
      <c r="I50" s="49"/>
      <c r="J50" s="4"/>
      <c r="K50" s="4"/>
    </row>
    <row r="51" spans="1:11" x14ac:dyDescent="0.25">
      <c r="A51" s="49"/>
      <c r="B51" s="49"/>
      <c r="C51" s="49"/>
      <c r="D51" s="66"/>
      <c r="E51" s="49"/>
      <c r="F51" s="49"/>
      <c r="G51" s="54"/>
      <c r="H51" s="49"/>
      <c r="I51" s="49"/>
      <c r="J51" s="4"/>
      <c r="K51" s="4"/>
    </row>
    <row r="52" spans="1:11" x14ac:dyDescent="0.25">
      <c r="A52" s="49"/>
      <c r="B52" s="49"/>
      <c r="C52" s="49"/>
      <c r="D52" s="66"/>
      <c r="E52" s="49"/>
      <c r="F52" s="49"/>
      <c r="G52" s="54"/>
      <c r="H52" s="49"/>
      <c r="I52" s="49"/>
      <c r="J52" s="4"/>
      <c r="K52" s="4"/>
    </row>
    <row r="53" spans="1:11" x14ac:dyDescent="0.25">
      <c r="A53" s="49"/>
      <c r="B53" s="49"/>
      <c r="C53" s="49"/>
      <c r="D53" s="66"/>
      <c r="E53" s="49"/>
      <c r="F53" s="49"/>
      <c r="G53" s="54"/>
      <c r="H53" s="49"/>
      <c r="I53" s="49"/>
      <c r="J53" s="4"/>
      <c r="K53" s="4"/>
    </row>
    <row r="54" spans="1:11" x14ac:dyDescent="0.25">
      <c r="A54" s="49"/>
      <c r="B54" s="49"/>
      <c r="C54" s="49"/>
      <c r="D54" s="66"/>
      <c r="E54" s="49"/>
      <c r="F54" s="49"/>
      <c r="G54" s="54"/>
      <c r="H54" s="49"/>
      <c r="I54" s="49"/>
      <c r="J54" s="4"/>
      <c r="K54" s="4"/>
    </row>
    <row r="55" spans="1:11" x14ac:dyDescent="0.25">
      <c r="A55" s="49"/>
      <c r="B55" s="49"/>
      <c r="C55" s="49"/>
      <c r="D55" s="66"/>
      <c r="E55" s="49"/>
      <c r="F55" s="49"/>
      <c r="G55" s="54"/>
      <c r="H55" s="49"/>
      <c r="I55" s="49"/>
      <c r="J55" s="4"/>
      <c r="K55" s="4"/>
    </row>
    <row r="56" spans="1:11" x14ac:dyDescent="0.25">
      <c r="A56" s="49"/>
      <c r="B56" s="49"/>
      <c r="C56" s="49"/>
      <c r="D56" s="66"/>
      <c r="E56" s="49"/>
      <c r="F56" s="49"/>
      <c r="G56" s="54"/>
      <c r="H56" s="49"/>
      <c r="I56" s="49"/>
      <c r="J56" s="4"/>
      <c r="K56" s="4"/>
    </row>
    <row r="57" spans="1:11" x14ac:dyDescent="0.25">
      <c r="A57" s="49"/>
      <c r="B57" s="49"/>
      <c r="C57" s="49"/>
      <c r="D57" s="66"/>
      <c r="E57" s="49"/>
      <c r="F57" s="49"/>
      <c r="G57" s="54"/>
      <c r="H57" s="49"/>
      <c r="I57" s="49"/>
      <c r="J57" s="4"/>
      <c r="K57" s="4"/>
    </row>
    <row r="58" spans="1:11" x14ac:dyDescent="0.25">
      <c r="A58" s="49"/>
      <c r="B58" s="49"/>
      <c r="C58" s="49"/>
      <c r="D58" s="66"/>
      <c r="E58" s="49"/>
      <c r="F58" s="49"/>
      <c r="G58" s="54"/>
      <c r="H58" s="49"/>
      <c r="I58" s="49"/>
      <c r="J58" s="4"/>
      <c r="K58" s="4"/>
    </row>
    <row r="59" spans="1:11" x14ac:dyDescent="0.25">
      <c r="A59" s="49"/>
      <c r="B59" s="49"/>
      <c r="C59" s="49"/>
      <c r="D59" s="66"/>
      <c r="E59" s="49"/>
      <c r="F59" s="49"/>
      <c r="G59" s="54"/>
      <c r="H59" s="49"/>
      <c r="I59" s="49"/>
      <c r="J59" s="4"/>
      <c r="K59" s="4"/>
    </row>
    <row r="60" spans="1:11" x14ac:dyDescent="0.25">
      <c r="A60" s="49"/>
      <c r="B60" s="49"/>
      <c r="C60" s="49"/>
      <c r="D60" s="66"/>
      <c r="E60" s="49"/>
      <c r="F60" s="49"/>
      <c r="G60" s="54"/>
      <c r="H60" s="49"/>
      <c r="I60" s="49"/>
      <c r="J60" s="4"/>
      <c r="K60" s="4"/>
    </row>
    <row r="61" spans="1:11" x14ac:dyDescent="0.25">
      <c r="A61" s="49"/>
      <c r="B61" s="49"/>
      <c r="C61" s="49"/>
      <c r="D61" s="66"/>
      <c r="E61" s="49"/>
      <c r="F61" s="49"/>
      <c r="G61" s="54"/>
      <c r="H61" s="49"/>
      <c r="I61" s="49"/>
      <c r="J61" s="4"/>
      <c r="K61" s="4"/>
    </row>
    <row r="62" spans="1:11" x14ac:dyDescent="0.25">
      <c r="A62" s="49"/>
      <c r="B62" s="49"/>
      <c r="C62" s="49"/>
      <c r="D62" s="66"/>
      <c r="E62" s="49"/>
      <c r="F62" s="49"/>
      <c r="G62" s="54"/>
      <c r="H62" s="49"/>
      <c r="I62" s="49"/>
      <c r="J62" s="4"/>
      <c r="K62" s="4"/>
    </row>
    <row r="63" spans="1:11" x14ac:dyDescent="0.25">
      <c r="A63" s="49"/>
      <c r="B63" s="49"/>
      <c r="C63" s="49"/>
      <c r="D63" s="66"/>
      <c r="E63" s="49"/>
      <c r="F63" s="49"/>
      <c r="G63" s="54"/>
      <c r="H63" s="49"/>
      <c r="I63" s="49"/>
      <c r="J63" s="4"/>
      <c r="K63" s="4"/>
    </row>
    <row r="64" spans="1:11" x14ac:dyDescent="0.25">
      <c r="A64" s="49"/>
      <c r="B64" s="49"/>
      <c r="C64" s="49"/>
      <c r="D64" s="66"/>
      <c r="E64" s="49"/>
      <c r="F64" s="49"/>
      <c r="G64" s="54"/>
      <c r="H64" s="49"/>
      <c r="I64" s="49"/>
      <c r="J64" s="4"/>
      <c r="K64" s="4"/>
    </row>
    <row r="65" spans="1:11" x14ac:dyDescent="0.25">
      <c r="A65" s="49"/>
      <c r="B65" s="49"/>
      <c r="C65" s="49"/>
      <c r="D65" s="66"/>
      <c r="E65" s="49"/>
      <c r="F65" s="49"/>
      <c r="G65" s="54"/>
      <c r="H65" s="49"/>
      <c r="I65" s="49"/>
      <c r="J65" s="4"/>
      <c r="K65" s="4"/>
    </row>
    <row r="66" spans="1:11" x14ac:dyDescent="0.25">
      <c r="A66" s="49"/>
      <c r="B66" s="49"/>
      <c r="C66" s="49"/>
      <c r="D66" s="66"/>
      <c r="E66" s="49"/>
      <c r="F66" s="49"/>
      <c r="G66" s="54"/>
      <c r="H66" s="49"/>
      <c r="I66" s="49"/>
      <c r="J66" s="4"/>
      <c r="K66" s="4"/>
    </row>
    <row r="67" spans="1:11" x14ac:dyDescent="0.25">
      <c r="A67" s="49"/>
      <c r="B67" s="81">
        <f t="shared" ref="B67:B77" si="5">B34</f>
        <v>2170</v>
      </c>
      <c r="C67" s="81">
        <f>B68</f>
        <v>2480</v>
      </c>
      <c r="D67" s="66">
        <f>AVERAGE(B67:C67)</f>
        <v>2325</v>
      </c>
      <c r="E67" s="49"/>
      <c r="F67" s="49"/>
      <c r="G67" s="54"/>
      <c r="H67" s="49"/>
      <c r="I67" s="49"/>
      <c r="J67" s="4"/>
      <c r="K67" s="4"/>
    </row>
    <row r="68" spans="1:11" x14ac:dyDescent="0.25">
      <c r="A68" s="49"/>
      <c r="B68" s="80">
        <f t="shared" si="5"/>
        <v>2480</v>
      </c>
      <c r="C68" s="81">
        <f t="shared" ref="C68:C76" si="6">B36</f>
        <v>2790</v>
      </c>
      <c r="D68" s="66">
        <f>AVERAGE(B68:C68)</f>
        <v>2635</v>
      </c>
      <c r="E68" s="49"/>
      <c r="F68" s="82" t="s">
        <v>103</v>
      </c>
      <c r="G68" s="83" t="s">
        <v>104</v>
      </c>
      <c r="H68" s="82" t="s">
        <v>105</v>
      </c>
      <c r="I68" s="49"/>
      <c r="J68" s="4"/>
      <c r="K68" s="4"/>
    </row>
    <row r="69" spans="1:11" x14ac:dyDescent="0.25">
      <c r="A69" s="49"/>
      <c r="B69" s="80">
        <f t="shared" si="5"/>
        <v>2790</v>
      </c>
      <c r="C69" s="81">
        <f t="shared" si="6"/>
        <v>3100</v>
      </c>
      <c r="D69" s="66">
        <f t="shared" ref="D69:D76" si="7">AVERAGE(B69:C69)</f>
        <v>2945</v>
      </c>
      <c r="E69" s="49"/>
      <c r="F69" s="105">
        <f t="shared" ref="F69:F78" si="8">C35</f>
        <v>7.5759999999999996</v>
      </c>
      <c r="G69" s="120">
        <f t="shared" ref="G69:G78" si="9">D67</f>
        <v>2325</v>
      </c>
      <c r="H69" s="81">
        <f>F69*G69</f>
        <v>17614.2</v>
      </c>
      <c r="I69" s="49"/>
      <c r="J69" s="4"/>
      <c r="K69" s="4"/>
    </row>
    <row r="70" spans="1:11" x14ac:dyDescent="0.25">
      <c r="A70" s="49"/>
      <c r="B70" s="80">
        <f t="shared" si="5"/>
        <v>3100</v>
      </c>
      <c r="C70" s="81">
        <f t="shared" si="6"/>
        <v>3410</v>
      </c>
      <c r="D70" s="66">
        <f t="shared" si="7"/>
        <v>3255</v>
      </c>
      <c r="E70" s="49"/>
      <c r="F70" s="105">
        <f t="shared" si="8"/>
        <v>35.279000000000003</v>
      </c>
      <c r="G70" s="81">
        <f t="shared" si="9"/>
        <v>2635</v>
      </c>
      <c r="H70" s="81">
        <f>F70*G70</f>
        <v>92960.165000000008</v>
      </c>
      <c r="I70" s="49"/>
      <c r="J70" s="4"/>
      <c r="K70" s="4"/>
    </row>
    <row r="71" spans="1:11" x14ac:dyDescent="0.25">
      <c r="A71" s="49"/>
      <c r="B71" s="80">
        <f t="shared" si="5"/>
        <v>3410</v>
      </c>
      <c r="C71" s="81">
        <f t="shared" si="6"/>
        <v>3720</v>
      </c>
      <c r="D71" s="66">
        <f t="shared" si="7"/>
        <v>3565</v>
      </c>
      <c r="E71" s="49"/>
      <c r="F71" s="105">
        <f t="shared" si="8"/>
        <v>85.894999999999996</v>
      </c>
      <c r="G71" s="81">
        <f t="shared" si="9"/>
        <v>2945</v>
      </c>
      <c r="H71" s="81">
        <f>F71*G71</f>
        <v>252960.77499999999</v>
      </c>
      <c r="I71" s="49"/>
      <c r="J71" s="4"/>
      <c r="K71" s="4"/>
    </row>
    <row r="72" spans="1:11" x14ac:dyDescent="0.25">
      <c r="A72" s="49"/>
      <c r="B72" s="80">
        <f t="shared" si="5"/>
        <v>3720</v>
      </c>
      <c r="C72" s="81">
        <f t="shared" si="6"/>
        <v>4030</v>
      </c>
      <c r="D72" s="66">
        <f t="shared" si="7"/>
        <v>3875</v>
      </c>
      <c r="E72" s="49"/>
      <c r="F72" s="105">
        <f t="shared" si="8"/>
        <v>143.97800000000001</v>
      </c>
      <c r="G72" s="81">
        <f t="shared" si="9"/>
        <v>3255</v>
      </c>
      <c r="H72" s="81">
        <f t="shared" ref="H72:H78" si="10">F72*G72</f>
        <v>468648.39</v>
      </c>
      <c r="I72" s="49"/>
      <c r="J72" s="4"/>
      <c r="K72" s="4"/>
    </row>
    <row r="73" spans="1:11" x14ac:dyDescent="0.25">
      <c r="A73" s="49"/>
      <c r="B73" s="80">
        <f t="shared" si="5"/>
        <v>4030</v>
      </c>
      <c r="C73" s="81">
        <f t="shared" si="6"/>
        <v>4340</v>
      </c>
      <c r="D73" s="66">
        <f t="shared" si="7"/>
        <v>4185</v>
      </c>
      <c r="E73" s="49"/>
      <c r="F73" s="105">
        <f t="shared" si="8"/>
        <v>221.06299999999999</v>
      </c>
      <c r="G73" s="81">
        <f t="shared" si="9"/>
        <v>3565</v>
      </c>
      <c r="H73" s="81">
        <f t="shared" si="10"/>
        <v>788089.59499999997</v>
      </c>
      <c r="I73" s="49"/>
      <c r="J73" s="4"/>
      <c r="K73" s="4"/>
    </row>
    <row r="74" spans="1:11" x14ac:dyDescent="0.25">
      <c r="A74" s="49"/>
      <c r="B74" s="80">
        <f t="shared" si="5"/>
        <v>4340</v>
      </c>
      <c r="C74" s="81">
        <f t="shared" si="6"/>
        <v>4650</v>
      </c>
      <c r="D74" s="66">
        <f t="shared" si="7"/>
        <v>4495</v>
      </c>
      <c r="E74" s="49"/>
      <c r="F74" s="105">
        <f t="shared" si="8"/>
        <v>285.75700000000001</v>
      </c>
      <c r="G74" s="81">
        <f t="shared" si="9"/>
        <v>3875</v>
      </c>
      <c r="H74" s="81">
        <f t="shared" si="10"/>
        <v>1107308.375</v>
      </c>
      <c r="I74" s="49"/>
      <c r="J74" s="4"/>
      <c r="K74" s="4"/>
    </row>
    <row r="75" spans="1:11" x14ac:dyDescent="0.25">
      <c r="A75" s="49"/>
      <c r="B75" s="80">
        <f t="shared" si="5"/>
        <v>4650</v>
      </c>
      <c r="C75" s="81">
        <f t="shared" si="6"/>
        <v>4960</v>
      </c>
      <c r="D75" s="66">
        <f t="shared" si="7"/>
        <v>4805</v>
      </c>
      <c r="E75" s="49"/>
      <c r="F75" s="105">
        <f t="shared" si="8"/>
        <v>564.15200000000004</v>
      </c>
      <c r="G75" s="81">
        <f t="shared" si="9"/>
        <v>4185</v>
      </c>
      <c r="H75" s="81">
        <f t="shared" si="10"/>
        <v>2360976.12</v>
      </c>
      <c r="I75" s="49"/>
      <c r="J75" s="4"/>
      <c r="K75" s="4"/>
    </row>
    <row r="76" spans="1:11" x14ac:dyDescent="0.25">
      <c r="A76" s="49"/>
      <c r="B76" s="80">
        <f t="shared" si="5"/>
        <v>4960</v>
      </c>
      <c r="C76" s="81">
        <f t="shared" si="6"/>
        <v>5270</v>
      </c>
      <c r="D76" s="66">
        <f t="shared" si="7"/>
        <v>5115</v>
      </c>
      <c r="E76" s="49"/>
      <c r="F76" s="105">
        <f t="shared" si="8"/>
        <v>926.87300000000005</v>
      </c>
      <c r="G76" s="81">
        <f t="shared" si="9"/>
        <v>4495</v>
      </c>
      <c r="H76" s="81">
        <f t="shared" si="10"/>
        <v>4166294.1350000002</v>
      </c>
      <c r="I76" s="49"/>
      <c r="J76" s="4"/>
      <c r="K76" s="4"/>
    </row>
    <row r="77" spans="1:11" x14ac:dyDescent="0.25">
      <c r="A77" s="49"/>
      <c r="B77" s="80">
        <f t="shared" si="5"/>
        <v>5270</v>
      </c>
      <c r="C77" s="81"/>
      <c r="D77" s="66"/>
      <c r="E77" s="49"/>
      <c r="F77" s="105">
        <f t="shared" si="8"/>
        <v>171.73500000000001</v>
      </c>
      <c r="G77" s="81">
        <f t="shared" si="9"/>
        <v>4805</v>
      </c>
      <c r="H77" s="81">
        <f t="shared" si="10"/>
        <v>825186.67500000005</v>
      </c>
      <c r="I77" s="49"/>
      <c r="J77" s="4"/>
      <c r="K77" s="4"/>
    </row>
    <row r="78" spans="1:11" x14ac:dyDescent="0.25">
      <c r="A78" s="49"/>
      <c r="B78" s="80"/>
      <c r="C78" s="118"/>
      <c r="D78" s="66"/>
      <c r="E78" s="49"/>
      <c r="F78" s="105">
        <f t="shared" si="8"/>
        <v>0.45300000000000001</v>
      </c>
      <c r="G78" s="81">
        <f t="shared" si="9"/>
        <v>5115</v>
      </c>
      <c r="H78" s="81">
        <f t="shared" si="10"/>
        <v>2317.0950000000003</v>
      </c>
      <c r="I78" s="49"/>
      <c r="J78" s="4"/>
      <c r="K78" s="4"/>
    </row>
    <row r="79" spans="1:11" x14ac:dyDescent="0.25">
      <c r="A79" s="49"/>
      <c r="B79" s="81"/>
      <c r="C79" s="49"/>
      <c r="D79" s="66"/>
      <c r="E79" s="49"/>
      <c r="F79" s="119">
        <f>SUM(F69:F78)</f>
        <v>2442.7610000000004</v>
      </c>
      <c r="G79" s="84">
        <f>SUM(G70:G78)</f>
        <v>34875</v>
      </c>
      <c r="H79" s="84">
        <f>SUM(H69:H77)</f>
        <v>10080038.430000002</v>
      </c>
      <c r="I79" s="49"/>
      <c r="J79" s="4"/>
      <c r="K79" s="4"/>
    </row>
    <row r="80" spans="1:11" ht="26.25" customHeight="1" x14ac:dyDescent="0.25">
      <c r="A80" s="49"/>
      <c r="B80" s="49"/>
      <c r="C80" s="49"/>
      <c r="D80" s="66"/>
      <c r="E80" s="49"/>
      <c r="F80" s="137" t="s">
        <v>222</v>
      </c>
      <c r="G80" s="138"/>
      <c r="H80" s="115">
        <f>H79/F79</f>
        <v>4126.4939263399083</v>
      </c>
      <c r="I80" s="49"/>
      <c r="J80" s="4"/>
      <c r="K80" s="4"/>
    </row>
    <row r="81" spans="1:11" x14ac:dyDescent="0.25">
      <c r="A81" s="49"/>
      <c r="B81" s="49"/>
      <c r="C81" s="49"/>
      <c r="D81" s="66"/>
      <c r="E81" s="49"/>
      <c r="F81" s="49"/>
      <c r="G81" s="54"/>
      <c r="H81" s="49"/>
      <c r="I81" s="49"/>
      <c r="J81" s="4"/>
      <c r="K81" s="4"/>
    </row>
    <row r="82" spans="1:11" x14ac:dyDescent="0.25">
      <c r="A82" s="49"/>
      <c r="B82" s="49"/>
      <c r="C82" s="49"/>
      <c r="D82" s="66"/>
      <c r="E82" s="49"/>
      <c r="F82" s="49"/>
      <c r="G82" s="54"/>
      <c r="H82" s="49"/>
      <c r="I82" s="49"/>
      <c r="J82" s="4"/>
      <c r="K82" s="4"/>
    </row>
    <row r="83" spans="1:11" x14ac:dyDescent="0.25">
      <c r="A83" s="49"/>
      <c r="B83" s="49"/>
      <c r="C83" s="49"/>
      <c r="D83" s="66"/>
      <c r="E83" s="49"/>
      <c r="F83" s="49"/>
      <c r="G83" s="54"/>
      <c r="H83" s="49"/>
      <c r="I83" s="49"/>
      <c r="J83" s="4"/>
      <c r="K83" s="4"/>
    </row>
    <row r="84" spans="1:11" x14ac:dyDescent="0.25">
      <c r="A84" s="49"/>
      <c r="B84" s="49"/>
      <c r="C84" s="49"/>
      <c r="D84" s="66"/>
      <c r="E84" s="49"/>
      <c r="F84" s="49"/>
      <c r="G84" s="54"/>
      <c r="H84" s="49"/>
      <c r="I84" s="49"/>
      <c r="J84" s="4"/>
      <c r="K84" s="4"/>
    </row>
    <row r="85" spans="1:11" x14ac:dyDescent="0.25">
      <c r="A85" s="49"/>
      <c r="B85" s="49"/>
      <c r="C85" s="49"/>
      <c r="D85" s="66"/>
      <c r="E85" s="49"/>
      <c r="F85" s="49"/>
      <c r="G85" s="54"/>
      <c r="H85" s="49"/>
      <c r="I85" s="49"/>
      <c r="J85" s="4"/>
      <c r="K85" s="4"/>
    </row>
    <row r="86" spans="1:11" x14ac:dyDescent="0.25">
      <c r="A86" s="49"/>
      <c r="B86" s="49"/>
      <c r="C86" s="49"/>
      <c r="D86" s="66"/>
      <c r="E86" s="49"/>
      <c r="F86" s="49"/>
      <c r="G86" s="54"/>
      <c r="H86" s="49"/>
      <c r="I86" s="49"/>
      <c r="J86" s="4"/>
      <c r="K86" s="4"/>
    </row>
    <row r="87" spans="1:11" x14ac:dyDescent="0.25">
      <c r="A87" s="49"/>
      <c r="B87" s="49"/>
      <c r="C87" s="49"/>
      <c r="D87" s="66"/>
      <c r="E87" s="49"/>
      <c r="F87" s="49"/>
      <c r="G87" s="54"/>
      <c r="H87" s="49"/>
      <c r="I87" s="49"/>
      <c r="J87" s="4"/>
      <c r="K87" s="4"/>
    </row>
    <row r="88" spans="1:11" x14ac:dyDescent="0.25">
      <c r="A88" s="49"/>
      <c r="B88" s="49"/>
      <c r="C88" s="49"/>
      <c r="D88" s="66"/>
      <c r="E88" s="49"/>
      <c r="F88" s="49"/>
      <c r="G88" s="54"/>
      <c r="H88" s="49"/>
      <c r="I88" s="49"/>
      <c r="J88" s="4"/>
      <c r="K88" s="4"/>
    </row>
    <row r="89" spans="1:11" x14ac:dyDescent="0.25">
      <c r="A89" s="49"/>
      <c r="B89" s="49"/>
      <c r="C89" s="49"/>
      <c r="D89" s="66"/>
      <c r="E89" s="49"/>
      <c r="F89" s="49"/>
      <c r="G89" s="54"/>
      <c r="H89" s="49"/>
      <c r="I89" s="49"/>
      <c r="J89" s="4"/>
      <c r="K89" s="4"/>
    </row>
    <row r="90" spans="1:11" x14ac:dyDescent="0.25">
      <c r="A90" s="49"/>
      <c r="B90" s="49"/>
      <c r="C90" s="49"/>
      <c r="D90" s="66"/>
      <c r="E90" s="49"/>
      <c r="F90" s="49"/>
      <c r="G90" s="54"/>
      <c r="H90" s="49"/>
      <c r="I90" s="49"/>
      <c r="J90" s="4"/>
      <c r="K90" s="4"/>
    </row>
    <row r="91" spans="1:11" x14ac:dyDescent="0.25">
      <c r="A91" s="49"/>
      <c r="B91" s="49"/>
      <c r="C91" s="49"/>
      <c r="D91" s="66"/>
      <c r="E91" s="49"/>
      <c r="F91" s="49"/>
      <c r="G91" s="54"/>
      <c r="H91" s="49"/>
      <c r="I91" s="49"/>
      <c r="J91" s="4"/>
      <c r="K91" s="4"/>
    </row>
    <row r="92" spans="1:11" s="8" customFormat="1" ht="15" x14ac:dyDescent="0.25">
      <c r="A92" s="49"/>
      <c r="B92" s="76" t="s">
        <v>16</v>
      </c>
      <c r="C92" s="60"/>
      <c r="D92" s="60"/>
      <c r="E92" s="60"/>
      <c r="F92" s="60"/>
      <c r="G92" s="60"/>
      <c r="H92" s="60"/>
      <c r="I92" s="60"/>
      <c r="J92" s="9" t="s">
        <v>6</v>
      </c>
      <c r="K92" s="10" t="e">
        <f>SUM(K41:K44)</f>
        <v>#REF!</v>
      </c>
    </row>
    <row r="93" spans="1:11" x14ac:dyDescent="0.25">
      <c r="A93" s="49"/>
      <c r="B93" s="49"/>
      <c r="C93" s="49"/>
      <c r="D93" s="49"/>
      <c r="E93" s="49"/>
      <c r="F93" s="49"/>
      <c r="G93" s="49"/>
      <c r="H93" s="49"/>
      <c r="I93" s="49"/>
    </row>
    <row r="94" spans="1:11" x14ac:dyDescent="0.25">
      <c r="A94" s="49"/>
      <c r="B94" s="49"/>
      <c r="C94" s="49"/>
      <c r="D94" s="49"/>
      <c r="E94" s="49"/>
      <c r="F94" s="49"/>
      <c r="G94" s="49"/>
      <c r="H94" s="49"/>
      <c r="I94" s="49"/>
    </row>
    <row r="95" spans="1:11" x14ac:dyDescent="0.25">
      <c r="A95" s="49"/>
      <c r="B95" s="49"/>
      <c r="C95" s="49"/>
      <c r="D95" s="49"/>
      <c r="E95" s="49"/>
      <c r="F95" s="49"/>
      <c r="G95" s="49"/>
      <c r="H95" s="49"/>
      <c r="I95" s="49"/>
    </row>
    <row r="96" spans="1:11" x14ac:dyDescent="0.25">
      <c r="A96" s="49"/>
      <c r="B96" s="49"/>
      <c r="C96" s="49"/>
      <c r="D96" s="49"/>
      <c r="E96" s="49"/>
      <c r="F96" s="49"/>
      <c r="G96" s="49"/>
      <c r="H96" s="49"/>
      <c r="I96" s="49"/>
    </row>
    <row r="97" spans="1:9" x14ac:dyDescent="0.25">
      <c r="A97" s="49"/>
      <c r="B97" s="50" t="s">
        <v>17</v>
      </c>
      <c r="C97" s="67">
        <f>(4550-3388)/(     C29   *1000 )</f>
        <v>7.4071006600993057E-3</v>
      </c>
      <c r="D97" s="49"/>
      <c r="E97" s="49"/>
      <c r="F97" s="49"/>
      <c r="G97" s="49"/>
      <c r="H97" s="49"/>
      <c r="I97" s="49"/>
    </row>
    <row r="98" spans="1:9" x14ac:dyDescent="0.25">
      <c r="A98" s="49"/>
      <c r="B98" s="49"/>
      <c r="C98" s="49"/>
      <c r="D98" s="49"/>
      <c r="E98" s="49"/>
      <c r="F98" s="49"/>
      <c r="G98" s="49"/>
      <c r="H98" s="49"/>
      <c r="I98" s="49"/>
    </row>
    <row r="99" spans="1:9" s="1" customFormat="1" x14ac:dyDescent="0.25">
      <c r="A99" s="50"/>
      <c r="B99" s="59" t="s">
        <v>20</v>
      </c>
      <c r="C99" s="59"/>
      <c r="D99" s="59"/>
      <c r="E99" s="59"/>
      <c r="F99" s="59"/>
      <c r="G99" s="59"/>
      <c r="H99" s="59"/>
      <c r="I99" s="59"/>
    </row>
    <row r="100" spans="1:9" x14ac:dyDescent="0.25">
      <c r="A100" s="49"/>
      <c r="B100" s="49"/>
      <c r="C100" s="49"/>
      <c r="D100" s="49"/>
      <c r="E100" s="49"/>
      <c r="F100" s="49"/>
      <c r="G100" s="49"/>
      <c r="H100" s="49"/>
      <c r="I100" s="49"/>
    </row>
    <row r="101" spans="1:9" x14ac:dyDescent="0.25">
      <c r="A101" s="49"/>
      <c r="B101" s="51" t="s">
        <v>21</v>
      </c>
      <c r="C101" s="52"/>
      <c r="D101" s="52"/>
      <c r="E101" s="52"/>
      <c r="F101" s="49"/>
      <c r="G101" s="49"/>
      <c r="H101" s="49"/>
      <c r="I101" s="49"/>
    </row>
    <row r="102" spans="1:9" x14ac:dyDescent="0.25">
      <c r="A102" s="49"/>
      <c r="B102" s="50" t="s">
        <v>22</v>
      </c>
      <c r="C102" s="68" t="e">
        <f>#REF!</f>
        <v>#REF!</v>
      </c>
      <c r="D102" s="49" t="s">
        <v>23</v>
      </c>
      <c r="E102" s="49"/>
      <c r="F102" s="49"/>
      <c r="G102" s="49"/>
      <c r="H102" s="49"/>
      <c r="I102" s="49"/>
    </row>
    <row r="103" spans="1:9" x14ac:dyDescent="0.25">
      <c r="A103" s="49"/>
      <c r="B103" s="49"/>
      <c r="C103" s="49"/>
      <c r="D103" s="49"/>
      <c r="E103" s="49"/>
      <c r="F103" s="49"/>
      <c r="G103" s="49"/>
      <c r="H103" s="49"/>
      <c r="I103" s="49"/>
    </row>
    <row r="104" spans="1:9" x14ac:dyDescent="0.25">
      <c r="A104" s="49"/>
      <c r="B104" s="51" t="s">
        <v>24</v>
      </c>
      <c r="C104" s="52"/>
      <c r="D104" s="52"/>
      <c r="E104" s="52"/>
      <c r="F104" s="49"/>
      <c r="G104" s="49"/>
      <c r="H104" s="49"/>
      <c r="I104" s="49"/>
    </row>
    <row r="105" spans="1:9" x14ac:dyDescent="0.25">
      <c r="A105" s="49"/>
      <c r="B105" s="49"/>
      <c r="C105" s="49"/>
      <c r="D105" s="49"/>
      <c r="E105" s="49"/>
      <c r="F105" s="49"/>
      <c r="G105" s="49"/>
      <c r="H105" s="49"/>
      <c r="I105" s="49"/>
    </row>
    <row r="106" spans="1:9" x14ac:dyDescent="0.25">
      <c r="A106" s="49"/>
      <c r="B106" s="49"/>
      <c r="C106" s="49"/>
      <c r="D106" s="49"/>
      <c r="E106" s="49"/>
      <c r="F106" s="49"/>
      <c r="G106" s="49"/>
      <c r="H106" s="49"/>
      <c r="I106" s="49"/>
    </row>
    <row r="107" spans="1:9" x14ac:dyDescent="0.25">
      <c r="A107" s="49"/>
      <c r="B107" s="49"/>
      <c r="C107" s="49"/>
      <c r="D107" s="49"/>
      <c r="E107" s="49"/>
      <c r="F107" s="49"/>
      <c r="G107" s="49"/>
      <c r="H107" s="49"/>
      <c r="I107" s="49"/>
    </row>
    <row r="108" spans="1:9" x14ac:dyDescent="0.25">
      <c r="A108" s="49"/>
      <c r="B108" s="49"/>
      <c r="C108" s="49"/>
      <c r="D108" s="49"/>
      <c r="E108" s="49"/>
      <c r="F108" s="49"/>
      <c r="G108" s="49"/>
      <c r="H108" s="49"/>
      <c r="I108" s="49"/>
    </row>
    <row r="109" spans="1:9" x14ac:dyDescent="0.25">
      <c r="A109" s="49"/>
      <c r="B109" s="49"/>
      <c r="C109" s="49"/>
      <c r="D109" s="49"/>
      <c r="E109" s="49"/>
      <c r="F109" s="49"/>
      <c r="G109" s="49"/>
      <c r="H109" s="49"/>
      <c r="I109" s="49"/>
    </row>
    <row r="110" spans="1:9" x14ac:dyDescent="0.25">
      <c r="A110" s="49"/>
      <c r="B110" s="69" t="s">
        <v>25</v>
      </c>
      <c r="C110" s="68">
        <f>H80</f>
        <v>4126.4939263399083</v>
      </c>
      <c r="D110" s="49" t="s">
        <v>23</v>
      </c>
      <c r="E110" s="49"/>
      <c r="F110" s="49"/>
      <c r="G110" s="49"/>
      <c r="H110" s="49"/>
      <c r="I110" s="49"/>
    </row>
    <row r="111" spans="1:9" x14ac:dyDescent="0.25">
      <c r="A111" s="49"/>
      <c r="B111" s="49"/>
      <c r="C111" s="49"/>
      <c r="D111" s="49"/>
      <c r="E111" s="49"/>
      <c r="F111" s="49"/>
      <c r="G111" s="49"/>
      <c r="H111" s="49"/>
      <c r="I111" s="49"/>
    </row>
    <row r="112" spans="1:9" x14ac:dyDescent="0.25">
      <c r="A112" s="49"/>
      <c r="B112" s="77"/>
      <c r="C112" s="58"/>
      <c r="D112" s="58"/>
      <c r="E112" s="58"/>
      <c r="F112" s="58"/>
      <c r="G112" s="58"/>
      <c r="H112" s="49"/>
      <c r="I112" s="49"/>
    </row>
    <row r="113" spans="1:9" x14ac:dyDescent="0.25">
      <c r="A113" s="49"/>
      <c r="B113" s="49"/>
      <c r="C113" s="49"/>
      <c r="D113" s="49"/>
      <c r="E113" s="49"/>
      <c r="F113" s="49"/>
      <c r="G113" s="49"/>
      <c r="H113" s="49"/>
      <c r="I113" s="49"/>
    </row>
    <row r="114" spans="1:9" x14ac:dyDescent="0.25">
      <c r="A114" s="49"/>
      <c r="B114" s="49"/>
      <c r="C114" s="49"/>
      <c r="D114" s="49"/>
      <c r="E114" s="49"/>
      <c r="F114" s="49"/>
      <c r="G114" s="49"/>
      <c r="H114" s="49"/>
      <c r="I114" s="49"/>
    </row>
    <row r="115" spans="1:9" x14ac:dyDescent="0.25">
      <c r="A115" s="49"/>
      <c r="B115" s="49"/>
      <c r="C115" s="49"/>
      <c r="D115" s="49"/>
      <c r="E115" s="49"/>
      <c r="F115" s="49"/>
      <c r="G115" s="49"/>
      <c r="H115" s="49"/>
      <c r="I115" s="49"/>
    </row>
    <row r="116" spans="1:9" x14ac:dyDescent="0.25">
      <c r="A116" s="49"/>
      <c r="B116" s="49"/>
      <c r="C116" s="49"/>
      <c r="D116" s="49"/>
      <c r="E116" s="49"/>
      <c r="F116" s="49"/>
      <c r="G116" s="49"/>
      <c r="H116" s="49"/>
      <c r="I116" s="49"/>
    </row>
    <row r="117" spans="1:9" x14ac:dyDescent="0.25">
      <c r="A117" s="49"/>
      <c r="B117" s="49"/>
      <c r="C117" s="49"/>
      <c r="D117" s="49"/>
      <c r="E117" s="49"/>
      <c r="F117" s="49"/>
      <c r="G117" s="49"/>
      <c r="H117" s="49"/>
      <c r="I117" s="49"/>
    </row>
    <row r="118" spans="1:9" x14ac:dyDescent="0.25">
      <c r="A118" s="49"/>
      <c r="B118" s="49"/>
      <c r="C118" s="49"/>
      <c r="D118" s="49"/>
      <c r="E118" s="49"/>
      <c r="F118" s="49"/>
      <c r="G118" s="49"/>
      <c r="H118" s="49"/>
      <c r="I118" s="49"/>
    </row>
    <row r="119" spans="1:9" x14ac:dyDescent="0.25">
      <c r="A119" s="49"/>
      <c r="B119" s="49"/>
      <c r="C119" s="49"/>
      <c r="D119" s="49"/>
      <c r="E119" s="49"/>
      <c r="F119" s="49"/>
      <c r="G119" s="49"/>
      <c r="H119" s="49"/>
      <c r="I119" s="49"/>
    </row>
    <row r="120" spans="1:9" x14ac:dyDescent="0.25">
      <c r="A120" s="49"/>
      <c r="B120" s="49"/>
      <c r="C120" s="49"/>
      <c r="D120" s="49"/>
      <c r="E120" s="49"/>
      <c r="F120" s="49"/>
      <c r="G120" s="49"/>
      <c r="H120" s="49"/>
      <c r="I120" s="49"/>
    </row>
    <row r="121" spans="1:9" x14ac:dyDescent="0.25">
      <c r="A121" s="49"/>
      <c r="B121" s="49"/>
      <c r="C121" s="49"/>
      <c r="D121" s="49"/>
      <c r="E121" s="49"/>
      <c r="F121" s="49"/>
      <c r="G121" s="49"/>
      <c r="H121" s="49"/>
      <c r="I121" s="49"/>
    </row>
    <row r="122" spans="1:9" x14ac:dyDescent="0.25">
      <c r="A122" s="49"/>
      <c r="B122" s="49"/>
      <c r="C122" s="49"/>
      <c r="D122" s="49"/>
      <c r="E122" s="49"/>
      <c r="F122" s="49"/>
      <c r="G122" s="49"/>
      <c r="H122" s="49"/>
      <c r="I122" s="49"/>
    </row>
    <row r="123" spans="1:9" x14ac:dyDescent="0.25">
      <c r="A123" s="49"/>
      <c r="B123" s="49"/>
      <c r="C123" s="49"/>
      <c r="D123" s="49"/>
      <c r="E123" s="49"/>
      <c r="F123" s="49"/>
      <c r="G123" s="49"/>
      <c r="H123" s="49"/>
      <c r="I123" s="49"/>
    </row>
    <row r="124" spans="1:9" x14ac:dyDescent="0.25">
      <c r="A124" s="49"/>
      <c r="B124" s="49"/>
      <c r="C124" s="49"/>
      <c r="D124" s="49"/>
      <c r="E124" s="49"/>
      <c r="F124" s="49"/>
      <c r="G124" s="49"/>
      <c r="H124" s="49"/>
      <c r="I124" s="49"/>
    </row>
    <row r="125" spans="1:9" x14ac:dyDescent="0.25">
      <c r="A125" s="49"/>
      <c r="B125" s="49"/>
      <c r="C125" s="49"/>
      <c r="D125" s="49"/>
      <c r="E125" s="49"/>
      <c r="F125" s="49"/>
      <c r="G125" s="49"/>
      <c r="H125" s="49"/>
      <c r="I125" s="49"/>
    </row>
    <row r="126" spans="1:9" x14ac:dyDescent="0.25">
      <c r="A126" s="49"/>
      <c r="B126" s="49"/>
      <c r="C126" s="49"/>
      <c r="D126" s="49"/>
      <c r="E126" s="49"/>
      <c r="F126" s="49"/>
      <c r="G126" s="49"/>
      <c r="H126" s="49"/>
      <c r="I126" s="49"/>
    </row>
    <row r="127" spans="1:9" x14ac:dyDescent="0.25">
      <c r="A127" s="49"/>
      <c r="B127" s="49"/>
      <c r="C127" s="49"/>
      <c r="D127" s="49"/>
      <c r="E127" s="49"/>
      <c r="F127" s="49"/>
      <c r="G127" s="49"/>
      <c r="H127" s="49"/>
      <c r="I127" s="49"/>
    </row>
    <row r="128" spans="1:9" x14ac:dyDescent="0.25">
      <c r="A128" s="49"/>
      <c r="B128" s="49"/>
      <c r="C128" s="49"/>
      <c r="D128" s="49"/>
      <c r="E128" s="49"/>
      <c r="F128" s="49"/>
      <c r="G128" s="49"/>
      <c r="H128" s="49"/>
      <c r="I128" s="49"/>
    </row>
    <row r="129" spans="1:9" x14ac:dyDescent="0.25">
      <c r="A129" s="49"/>
      <c r="B129" s="49"/>
      <c r="C129" s="49"/>
      <c r="D129" s="49"/>
      <c r="E129" s="49"/>
      <c r="F129" s="49"/>
      <c r="G129" s="49"/>
      <c r="H129" s="49"/>
      <c r="I129" s="49"/>
    </row>
    <row r="130" spans="1:9" x14ac:dyDescent="0.25">
      <c r="A130" s="49"/>
      <c r="B130" s="49"/>
      <c r="C130" s="49"/>
      <c r="D130" s="49"/>
      <c r="E130" s="49"/>
      <c r="F130" s="49"/>
      <c r="G130" s="49"/>
      <c r="H130" s="49"/>
      <c r="I130" s="49"/>
    </row>
    <row r="131" spans="1:9" x14ac:dyDescent="0.25">
      <c r="A131" s="49"/>
      <c r="B131" s="49"/>
      <c r="C131" s="49"/>
      <c r="D131" s="49"/>
      <c r="E131" s="49"/>
      <c r="F131" s="49"/>
      <c r="G131" s="49"/>
      <c r="H131" s="49"/>
      <c r="I131" s="49"/>
    </row>
    <row r="132" spans="1:9" x14ac:dyDescent="0.25">
      <c r="A132" s="49"/>
      <c r="B132" s="49"/>
      <c r="C132" s="49"/>
      <c r="D132" s="49"/>
      <c r="E132" s="49"/>
      <c r="F132" s="49"/>
      <c r="G132" s="49"/>
      <c r="H132" s="49"/>
      <c r="I132" s="49"/>
    </row>
    <row r="133" spans="1:9" x14ac:dyDescent="0.25">
      <c r="A133" s="49"/>
      <c r="B133" s="49"/>
      <c r="C133" s="49"/>
      <c r="D133" s="49"/>
      <c r="E133" s="49"/>
      <c r="F133" s="49"/>
      <c r="G133" s="49"/>
      <c r="H133" s="49"/>
      <c r="I133" s="49"/>
    </row>
    <row r="134" spans="1:9" x14ac:dyDescent="0.25">
      <c r="A134" s="49"/>
      <c r="B134" s="49"/>
      <c r="C134" s="49"/>
      <c r="D134" s="49"/>
      <c r="E134" s="49"/>
      <c r="F134" s="49"/>
      <c r="G134" s="49"/>
      <c r="H134" s="49"/>
      <c r="I134" s="49"/>
    </row>
    <row r="135" spans="1:9" x14ac:dyDescent="0.25">
      <c r="A135" s="49"/>
      <c r="B135" s="49"/>
      <c r="C135" s="49"/>
      <c r="D135" s="49"/>
      <c r="E135" s="49"/>
      <c r="F135" s="49"/>
      <c r="G135" s="49"/>
      <c r="H135" s="49"/>
      <c r="I135" s="49"/>
    </row>
    <row r="136" spans="1:9" x14ac:dyDescent="0.25">
      <c r="A136" s="49"/>
      <c r="B136" s="49"/>
      <c r="C136" s="49"/>
      <c r="D136" s="49"/>
      <c r="E136" s="49"/>
      <c r="F136" s="49"/>
      <c r="G136" s="49"/>
      <c r="H136" s="49"/>
      <c r="I136" s="49"/>
    </row>
    <row r="137" spans="1:9" x14ac:dyDescent="0.25">
      <c r="A137" s="49"/>
      <c r="B137" s="49"/>
      <c r="C137" s="49"/>
      <c r="D137" s="49"/>
      <c r="E137" s="49"/>
      <c r="F137" s="49"/>
      <c r="G137" s="49"/>
      <c r="H137" s="49"/>
      <c r="I137" s="49"/>
    </row>
    <row r="138" spans="1:9" x14ac:dyDescent="0.25">
      <c r="A138" s="49"/>
      <c r="B138" s="49"/>
      <c r="C138" s="49"/>
      <c r="D138" s="49"/>
      <c r="E138" s="49"/>
      <c r="F138" s="49"/>
      <c r="G138" s="49"/>
      <c r="H138" s="49"/>
      <c r="I138" s="49"/>
    </row>
    <row r="139" spans="1:9" x14ac:dyDescent="0.25">
      <c r="A139" s="49"/>
      <c r="B139" s="49"/>
      <c r="C139" s="49"/>
      <c r="D139" s="49"/>
      <c r="E139" s="49"/>
      <c r="F139" s="49"/>
      <c r="G139" s="49"/>
      <c r="H139" s="49"/>
      <c r="I139" s="49"/>
    </row>
    <row r="140" spans="1:9" x14ac:dyDescent="0.25">
      <c r="A140" s="49"/>
      <c r="B140" s="49"/>
      <c r="C140" s="49"/>
      <c r="D140" s="49"/>
      <c r="E140" s="49"/>
      <c r="F140" s="49"/>
      <c r="G140" s="49"/>
      <c r="H140" s="49"/>
      <c r="I140" s="49"/>
    </row>
    <row r="141" spans="1:9" x14ac:dyDescent="0.25">
      <c r="A141" s="49"/>
      <c r="B141" s="49"/>
      <c r="C141" s="49"/>
      <c r="D141" s="49"/>
      <c r="E141" s="49"/>
      <c r="F141" s="49"/>
      <c r="G141" s="49"/>
      <c r="H141" s="49"/>
      <c r="I141" s="49"/>
    </row>
    <row r="142" spans="1:9" x14ac:dyDescent="0.25">
      <c r="A142" s="49"/>
      <c r="B142" s="49"/>
      <c r="C142" s="49"/>
      <c r="D142" s="49"/>
      <c r="E142" s="49"/>
      <c r="F142" s="49"/>
      <c r="G142" s="49"/>
      <c r="H142" s="49"/>
      <c r="I142" s="49"/>
    </row>
    <row r="143" spans="1:9" x14ac:dyDescent="0.25">
      <c r="A143" s="49"/>
      <c r="B143" s="49"/>
      <c r="C143" s="49"/>
      <c r="D143" s="49"/>
      <c r="E143" s="49"/>
      <c r="F143" s="49"/>
      <c r="G143" s="49"/>
      <c r="H143" s="49"/>
      <c r="I143" s="49"/>
    </row>
    <row r="144" spans="1:9" x14ac:dyDescent="0.25">
      <c r="A144" s="49"/>
      <c r="B144" s="49"/>
      <c r="C144" s="49"/>
      <c r="D144" s="49"/>
      <c r="E144" s="49"/>
      <c r="F144" s="49"/>
      <c r="G144" s="49"/>
      <c r="H144" s="49"/>
      <c r="I144" s="49"/>
    </row>
    <row r="145" spans="1:10" x14ac:dyDescent="0.25">
      <c r="A145" s="49"/>
      <c r="B145" s="51" t="s">
        <v>28</v>
      </c>
      <c r="C145" s="52"/>
      <c r="D145" s="52"/>
      <c r="E145" s="52"/>
      <c r="F145" s="52"/>
      <c r="G145" s="52"/>
      <c r="H145" s="52"/>
      <c r="I145" s="52"/>
      <c r="J145" s="7"/>
    </row>
    <row r="146" spans="1:10" x14ac:dyDescent="0.25">
      <c r="A146" s="49"/>
      <c r="B146" s="49"/>
      <c r="C146" s="49"/>
      <c r="D146" s="49"/>
      <c r="E146" s="49"/>
      <c r="F146" s="49"/>
      <c r="G146" s="49"/>
      <c r="H146" s="49"/>
      <c r="I146" s="49"/>
    </row>
    <row r="147" spans="1:10" x14ac:dyDescent="0.25">
      <c r="A147" s="49"/>
      <c r="B147" s="70" t="s">
        <v>29</v>
      </c>
      <c r="C147" s="70"/>
      <c r="D147" s="70"/>
      <c r="E147" s="70"/>
      <c r="F147" s="49"/>
      <c r="G147" s="49"/>
      <c r="H147" s="49"/>
      <c r="I147" s="49"/>
    </row>
    <row r="148" spans="1:10" x14ac:dyDescent="0.25">
      <c r="A148" s="49"/>
      <c r="B148" s="70"/>
      <c r="C148" s="70"/>
      <c r="D148" s="70"/>
      <c r="E148" s="70"/>
      <c r="F148" s="49"/>
      <c r="G148" s="49"/>
      <c r="H148" s="49"/>
      <c r="I148" s="49"/>
    </row>
    <row r="149" spans="1:10" x14ac:dyDescent="0.25">
      <c r="A149" s="49"/>
      <c r="B149" s="70"/>
      <c r="C149" s="70"/>
      <c r="D149" s="70"/>
      <c r="E149" s="70"/>
      <c r="F149" s="49"/>
      <c r="G149" s="49"/>
      <c r="H149" s="49"/>
      <c r="I149" s="49"/>
    </row>
    <row r="150" spans="1:10" x14ac:dyDescent="0.25">
      <c r="A150" s="49"/>
      <c r="B150" s="70"/>
      <c r="C150" s="70"/>
      <c r="D150" s="70"/>
      <c r="E150" s="70"/>
      <c r="F150" s="49"/>
      <c r="G150" s="49"/>
      <c r="H150" s="49"/>
      <c r="I150" s="49"/>
    </row>
    <row r="151" spans="1:10" x14ac:dyDescent="0.25">
      <c r="A151" s="49"/>
      <c r="B151" s="70"/>
      <c r="C151" s="70"/>
      <c r="D151" s="70"/>
      <c r="E151" s="70"/>
      <c r="F151" s="49"/>
      <c r="G151" s="49"/>
      <c r="H151" s="49"/>
      <c r="I151" s="49"/>
    </row>
    <row r="152" spans="1:10" x14ac:dyDescent="0.25">
      <c r="A152" s="49"/>
      <c r="B152" s="70"/>
      <c r="C152" s="70"/>
      <c r="D152" s="70"/>
      <c r="E152" s="70"/>
      <c r="F152" s="49"/>
      <c r="G152" s="49"/>
      <c r="H152" s="49"/>
      <c r="I152" s="49"/>
    </row>
    <row r="153" spans="1:10" x14ac:dyDescent="0.25">
      <c r="A153" s="49"/>
      <c r="B153" s="70" t="s">
        <v>2</v>
      </c>
      <c r="C153" s="70"/>
      <c r="D153" s="70"/>
      <c r="E153" s="70"/>
      <c r="F153" s="49"/>
      <c r="G153" s="49"/>
      <c r="H153" s="49"/>
      <c r="I153" s="49"/>
    </row>
    <row r="154" spans="1:10" x14ac:dyDescent="0.25">
      <c r="A154" s="49"/>
      <c r="B154" s="70"/>
      <c r="C154" s="70"/>
      <c r="D154" s="70"/>
      <c r="E154" s="70"/>
      <c r="F154" s="49"/>
      <c r="G154" s="49"/>
      <c r="H154" s="49"/>
      <c r="I154" s="49"/>
    </row>
    <row r="155" spans="1:10" x14ac:dyDescent="0.25">
      <c r="A155" s="49"/>
      <c r="B155" s="70" t="s">
        <v>36</v>
      </c>
      <c r="C155" s="70" t="s">
        <v>30</v>
      </c>
      <c r="D155" s="70"/>
      <c r="E155" s="70"/>
      <c r="F155" s="49"/>
      <c r="G155" s="49"/>
      <c r="H155" s="49"/>
      <c r="I155" s="49"/>
    </row>
    <row r="156" spans="1:10" x14ac:dyDescent="0.25">
      <c r="A156" s="49"/>
      <c r="B156" s="70" t="s">
        <v>31</v>
      </c>
      <c r="C156" s="70" t="s">
        <v>32</v>
      </c>
      <c r="D156" s="70"/>
      <c r="E156" s="70"/>
      <c r="F156" s="49"/>
      <c r="G156" s="49"/>
      <c r="H156" s="49"/>
      <c r="I156" s="49"/>
    </row>
    <row r="157" spans="1:10" x14ac:dyDescent="0.25">
      <c r="A157" s="49"/>
      <c r="B157" s="70" t="s">
        <v>33</v>
      </c>
      <c r="C157" s="70" t="s">
        <v>34</v>
      </c>
      <c r="D157" s="70"/>
      <c r="E157" s="70"/>
      <c r="F157" s="49"/>
      <c r="G157" s="49"/>
      <c r="H157" s="49"/>
      <c r="I157" s="49"/>
    </row>
    <row r="158" spans="1:10" x14ac:dyDescent="0.25">
      <c r="A158" s="49"/>
      <c r="B158" s="70"/>
      <c r="C158" s="70"/>
      <c r="D158" s="70"/>
      <c r="E158" s="70"/>
      <c r="F158" s="49"/>
      <c r="G158" s="49"/>
      <c r="H158" s="49"/>
      <c r="I158" s="49"/>
    </row>
    <row r="159" spans="1:10" x14ac:dyDescent="0.25">
      <c r="A159" s="49"/>
      <c r="B159" s="71" t="s">
        <v>35</v>
      </c>
      <c r="C159" s="70"/>
      <c r="D159" s="70"/>
      <c r="E159" s="70"/>
      <c r="F159" s="50"/>
      <c r="G159" s="49"/>
      <c r="H159" s="49"/>
      <c r="I159" s="49"/>
    </row>
    <row r="160" spans="1:10" x14ac:dyDescent="0.25">
      <c r="A160" s="49"/>
      <c r="B160" s="70" t="s">
        <v>33</v>
      </c>
      <c r="C160" s="60">
        <f>F160*1000</f>
        <v>122664.24399999999</v>
      </c>
      <c r="D160" s="70" t="s">
        <v>0</v>
      </c>
      <c r="E160" s="70"/>
      <c r="F160" s="54">
        <f>'Parámetros geomorfológicos'!G90</f>
        <v>122.664244</v>
      </c>
      <c r="G160" s="49"/>
      <c r="H160" s="49"/>
      <c r="I160" s="49"/>
    </row>
    <row r="161" spans="1:10" x14ac:dyDescent="0.25">
      <c r="A161" s="49"/>
      <c r="B161" s="70" t="s">
        <v>31</v>
      </c>
      <c r="C161" s="72">
        <f>'Rectángulo equivalente'!D80</f>
        <v>1.9123323563079102E-2</v>
      </c>
      <c r="D161" s="70"/>
      <c r="E161" s="70"/>
      <c r="F161" s="49"/>
      <c r="G161" s="55"/>
      <c r="H161" s="54"/>
      <c r="I161" s="49"/>
    </row>
    <row r="162" spans="1:10" x14ac:dyDescent="0.25">
      <c r="A162" s="49"/>
      <c r="B162" s="70" t="s">
        <v>10</v>
      </c>
      <c r="C162" s="70"/>
      <c r="D162" s="70"/>
      <c r="E162" s="70"/>
      <c r="F162" s="49"/>
      <c r="G162" s="49"/>
      <c r="H162" s="54"/>
      <c r="I162" s="49"/>
    </row>
    <row r="163" spans="1:10" x14ac:dyDescent="0.25">
      <c r="A163" s="49"/>
      <c r="B163" s="70"/>
      <c r="C163" s="70"/>
      <c r="D163" s="70"/>
      <c r="E163" s="70">
        <f>C164/60</f>
        <v>12.353622096326236</v>
      </c>
      <c r="F163" s="49"/>
      <c r="G163" s="49"/>
      <c r="H163" s="49"/>
      <c r="I163" s="49"/>
    </row>
    <row r="164" spans="1:10" x14ac:dyDescent="0.25">
      <c r="A164" s="49"/>
      <c r="B164" s="51" t="s">
        <v>36</v>
      </c>
      <c r="C164" s="73">
        <f>(0.000325*(C160)^0.77)/(C161^0.385)*60</f>
        <v>741.21732577957414</v>
      </c>
      <c r="D164" s="52" t="s">
        <v>37</v>
      </c>
      <c r="E164" s="52"/>
      <c r="F164" s="51"/>
      <c r="G164" s="73"/>
      <c r="H164" s="52"/>
      <c r="I164" s="52"/>
      <c r="J164" s="7"/>
    </row>
  </sheetData>
  <mergeCells count="1">
    <mergeCell ref="F80:G80"/>
  </mergeCells>
  <phoneticPr fontId="2" type="noConversion"/>
  <pageMargins left="0.75" right="0.75" top="1" bottom="1" header="0" footer="0"/>
  <pageSetup paperSize="9" scale="64" orientation="portrait" horizontalDpi="120" verticalDpi="144" r:id="rId1"/>
  <headerFooter alignWithMargins="0"/>
  <rowBreaks count="1" manualBreakCount="1">
    <brk id="91" max="8" man="1"/>
  </rowBreaks>
  <colBreaks count="1" manualBreakCount="1">
    <brk id="9" max="152" man="1"/>
  </colBreaks>
  <drawing r:id="rId2"/>
  <legacyDrawing r:id="rId3"/>
  <oleObjects>
    <mc:AlternateContent xmlns:mc="http://schemas.openxmlformats.org/markup-compatibility/2006">
      <mc:Choice Requires="x14">
        <oleObject progId="Equation.3" shapeId="2049" r:id="rId4">
          <objectPr defaultSize="0" r:id="rId5">
            <anchor moveWithCells="1">
              <from>
                <xdr:col>1</xdr:col>
                <xdr:colOff>7620</xdr:colOff>
                <xdr:row>5</xdr:row>
                <xdr:rowOff>76200</xdr:rowOff>
              </from>
              <to>
                <xdr:col>2</xdr:col>
                <xdr:colOff>525780</xdr:colOff>
                <xdr:row>6</xdr:row>
                <xdr:rowOff>114300</xdr:rowOff>
              </to>
            </anchor>
          </objectPr>
        </oleObject>
      </mc:Choice>
      <mc:Fallback>
        <oleObject progId="Equation.3" shapeId="2049" r:id="rId4"/>
      </mc:Fallback>
    </mc:AlternateContent>
    <mc:AlternateContent xmlns:mc="http://schemas.openxmlformats.org/markup-compatibility/2006">
      <mc:Choice Requires="x14">
        <oleObject progId="Equation.3" shapeId="2051" r:id="rId6">
          <objectPr defaultSize="0" r:id="rId7">
            <anchor moveWithCells="1">
              <from>
                <xdr:col>1</xdr:col>
                <xdr:colOff>0</xdr:colOff>
                <xdr:row>16</xdr:row>
                <xdr:rowOff>106680</xdr:rowOff>
              </from>
              <to>
                <xdr:col>3</xdr:col>
                <xdr:colOff>594360</xdr:colOff>
                <xdr:row>20</xdr:row>
                <xdr:rowOff>38100</xdr:rowOff>
              </to>
            </anchor>
          </objectPr>
        </oleObject>
      </mc:Choice>
      <mc:Fallback>
        <oleObject progId="Equation.3" shapeId="2051" r:id="rId6"/>
      </mc:Fallback>
    </mc:AlternateContent>
    <mc:AlternateContent xmlns:mc="http://schemas.openxmlformats.org/markup-compatibility/2006">
      <mc:Choice Requires="x14">
        <oleObject progId="Equation.3" shapeId="2052" r:id="rId8">
          <objectPr defaultSize="0" autoPict="0" r:id="rId9">
            <anchor moveWithCells="1">
              <from>
                <xdr:col>1</xdr:col>
                <xdr:colOff>0</xdr:colOff>
                <xdr:row>21</xdr:row>
                <xdr:rowOff>99060</xdr:rowOff>
              </from>
              <to>
                <xdr:col>3</xdr:col>
                <xdr:colOff>601980</xdr:colOff>
                <xdr:row>24</xdr:row>
                <xdr:rowOff>152400</xdr:rowOff>
              </to>
            </anchor>
          </objectPr>
        </oleObject>
      </mc:Choice>
      <mc:Fallback>
        <oleObject progId="Equation.3" shapeId="2052" r:id="rId8"/>
      </mc:Fallback>
    </mc:AlternateContent>
    <mc:AlternateContent xmlns:mc="http://schemas.openxmlformats.org/markup-compatibility/2006">
      <mc:Choice Requires="x14">
        <oleObject progId="Equation.3" shapeId="2053" r:id="rId10">
          <objectPr defaultSize="0" r:id="rId11">
            <anchor moveWithCells="1">
              <from>
                <xdr:col>1</xdr:col>
                <xdr:colOff>38100</xdr:colOff>
                <xdr:row>92</xdr:row>
                <xdr:rowOff>152400</xdr:rowOff>
              </from>
              <to>
                <xdr:col>2</xdr:col>
                <xdr:colOff>289560</xdr:colOff>
                <xdr:row>95</xdr:row>
                <xdr:rowOff>60960</xdr:rowOff>
              </to>
            </anchor>
          </objectPr>
        </oleObject>
      </mc:Choice>
      <mc:Fallback>
        <oleObject progId="Equation.3" shapeId="2053" r:id="rId10"/>
      </mc:Fallback>
    </mc:AlternateContent>
    <mc:AlternateContent xmlns:mc="http://schemas.openxmlformats.org/markup-compatibility/2006">
      <mc:Choice Requires="x14">
        <oleObject progId="Equation.3" shapeId="2054" r:id="rId12">
          <objectPr defaultSize="0" autoPict="0" r:id="rId13">
            <anchor moveWithCells="1">
              <from>
                <xdr:col>1</xdr:col>
                <xdr:colOff>22860</xdr:colOff>
                <xdr:row>104</xdr:row>
                <xdr:rowOff>38100</xdr:rowOff>
              </from>
              <to>
                <xdr:col>2</xdr:col>
                <xdr:colOff>754380</xdr:colOff>
                <xdr:row>107</xdr:row>
                <xdr:rowOff>99060</xdr:rowOff>
              </to>
            </anchor>
          </objectPr>
        </oleObject>
      </mc:Choice>
      <mc:Fallback>
        <oleObject progId="Equation.3" shapeId="2054" r:id="rId12"/>
      </mc:Fallback>
    </mc:AlternateContent>
    <mc:AlternateContent xmlns:mc="http://schemas.openxmlformats.org/markup-compatibility/2006">
      <mc:Choice Requires="x14">
        <oleObject progId="Equation.3" shapeId="2055" r:id="rId14">
          <objectPr defaultSize="0" r:id="rId15">
            <anchor moveWithCells="1">
              <from>
                <xdr:col>7</xdr:col>
                <xdr:colOff>106680</xdr:colOff>
                <xdr:row>44</xdr:row>
                <xdr:rowOff>0</xdr:rowOff>
              </from>
              <to>
                <xdr:col>7</xdr:col>
                <xdr:colOff>792480</xdr:colOff>
                <xdr:row>47</xdr:row>
                <xdr:rowOff>60960</xdr:rowOff>
              </to>
            </anchor>
          </objectPr>
        </oleObject>
      </mc:Choice>
      <mc:Fallback>
        <oleObject progId="Equation.3" shapeId="2055" r:id="rId14"/>
      </mc:Fallback>
    </mc:AlternateContent>
    <mc:AlternateContent xmlns:mc="http://schemas.openxmlformats.org/markup-compatibility/2006">
      <mc:Choice Requires="x14">
        <oleObject progId="Equation.3" shapeId="2059" r:id="rId16">
          <objectPr defaultSize="0" r:id="rId17">
            <anchor moveWithCells="1">
              <from>
                <xdr:col>1</xdr:col>
                <xdr:colOff>99060</xdr:colOff>
                <xdr:row>148</xdr:row>
                <xdr:rowOff>30480</xdr:rowOff>
              </from>
              <to>
                <xdr:col>2</xdr:col>
                <xdr:colOff>723900</xdr:colOff>
                <xdr:row>150</xdr:row>
                <xdr:rowOff>121920</xdr:rowOff>
              </to>
            </anchor>
          </objectPr>
        </oleObject>
      </mc:Choice>
      <mc:Fallback>
        <oleObject progId="Equation.3" shapeId="2059" r:id="rId16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4:K80"/>
  <sheetViews>
    <sheetView topLeftCell="A58" workbookViewId="0">
      <selection activeCell="K70" sqref="K70"/>
    </sheetView>
  </sheetViews>
  <sheetFormatPr baseColWidth="10" defaultRowHeight="13.2" x14ac:dyDescent="0.25"/>
  <sheetData>
    <row r="4" spans="3:11" x14ac:dyDescent="0.25">
      <c r="D4" s="11" t="s">
        <v>118</v>
      </c>
      <c r="I4" s="11" t="s">
        <v>11</v>
      </c>
      <c r="J4" s="2">
        <f>'PENDIENTE_CUENCA-_ALTM_HIPSO'!C14</f>
        <v>1.9539120077226895</v>
      </c>
    </row>
    <row r="5" spans="3:11" x14ac:dyDescent="0.25">
      <c r="I5" s="11" t="s">
        <v>119</v>
      </c>
      <c r="J5">
        <f>'PENDIENTE_CUENCA-_ALTM_HIPSO'!E12</f>
        <v>2442.76134525</v>
      </c>
      <c r="K5" s="11" t="s">
        <v>120</v>
      </c>
    </row>
    <row r="6" spans="3:11" x14ac:dyDescent="0.25">
      <c r="I6" s="11" t="s">
        <v>121</v>
      </c>
    </row>
    <row r="12" spans="3:11" x14ac:dyDescent="0.25">
      <c r="C12" s="11" t="s">
        <v>33</v>
      </c>
      <c r="D12" s="2">
        <f>(J4*SQRT(J5))/1.12*(1+SQRT(1-(1.12/J4)^2))</f>
        <v>156.87649639480142</v>
      </c>
      <c r="E12" s="11" t="s">
        <v>1</v>
      </c>
    </row>
    <row r="17" spans="3:11" x14ac:dyDescent="0.25">
      <c r="D17" s="11" t="s">
        <v>122</v>
      </c>
    </row>
    <row r="28" spans="3:11" x14ac:dyDescent="0.25">
      <c r="C28" s="11" t="s">
        <v>123</v>
      </c>
      <c r="D28" s="2">
        <f>(J4*SQRT(J5))/1.12*(1-SQRT(1-(1.12/J4)^2))</f>
        <v>15.571238530866042</v>
      </c>
      <c r="E28" s="11" t="s">
        <v>1</v>
      </c>
    </row>
    <row r="32" spans="3:11" ht="15.6" x14ac:dyDescent="0.25">
      <c r="J32" s="91" t="s">
        <v>124</v>
      </c>
      <c r="K32" s="91" t="s">
        <v>125</v>
      </c>
    </row>
    <row r="33" spans="10:11" x14ac:dyDescent="0.25">
      <c r="J33" s="106">
        <v>0</v>
      </c>
      <c r="K33" s="92">
        <f>J33/$D$28</f>
        <v>0</v>
      </c>
    </row>
    <row r="34" spans="10:11" x14ac:dyDescent="0.25">
      <c r="J34" s="105">
        <v>3.9487515108499998E-3</v>
      </c>
      <c r="K34" s="92">
        <f t="shared" ref="K34:K48" si="0">J34/$D$28</f>
        <v>2.5359264152447468E-4</v>
      </c>
    </row>
    <row r="35" spans="10:11" x14ac:dyDescent="0.25">
      <c r="J35" s="105">
        <v>0.127732239498</v>
      </c>
      <c r="K35" s="92">
        <f t="shared" si="0"/>
        <v>8.2030879717630133E-3</v>
      </c>
    </row>
    <row r="36" spans="10:11" x14ac:dyDescent="0.25">
      <c r="J36" s="105">
        <v>0.63604767453099997</v>
      </c>
      <c r="K36" s="92">
        <f t="shared" si="0"/>
        <v>4.0847596886413137E-2</v>
      </c>
    </row>
    <row r="37" spans="10:11" x14ac:dyDescent="0.25">
      <c r="J37" s="105">
        <v>1.4129640539200001</v>
      </c>
      <c r="K37" s="92">
        <f t="shared" si="0"/>
        <v>9.0741918256480134E-2</v>
      </c>
    </row>
    <row r="38" spans="10:11" x14ac:dyDescent="0.25">
      <c r="J38" s="105">
        <v>1.4582183715299999</v>
      </c>
      <c r="K38" s="92">
        <f t="shared" si="0"/>
        <v>9.3648194306409915E-2</v>
      </c>
    </row>
    <row r="39" spans="10:11" x14ac:dyDescent="0.25">
      <c r="J39" s="105">
        <v>1.8062510247500001</v>
      </c>
      <c r="K39" s="92">
        <f t="shared" si="0"/>
        <v>0.11599918793675688</v>
      </c>
    </row>
    <row r="40" spans="10:11" x14ac:dyDescent="0.25">
      <c r="J40" s="105">
        <v>2.0323132574700002</v>
      </c>
      <c r="K40" s="92">
        <f t="shared" si="0"/>
        <v>0.13051712318461073</v>
      </c>
    </row>
    <row r="41" spans="10:11" x14ac:dyDescent="0.25">
      <c r="J41" s="105">
        <v>2.3702365215099999</v>
      </c>
      <c r="K41" s="92">
        <f t="shared" si="0"/>
        <v>0.15221888206333783</v>
      </c>
    </row>
    <row r="42" spans="10:11" x14ac:dyDescent="0.25">
      <c r="J42" s="105">
        <v>2.8094658393199996</v>
      </c>
      <c r="K42" s="92">
        <f t="shared" si="0"/>
        <v>0.18042661370519397</v>
      </c>
    </row>
    <row r="43" spans="10:11" x14ac:dyDescent="0.25">
      <c r="J43" s="105">
        <v>2.7509230912600002</v>
      </c>
      <c r="K43" s="92">
        <f t="shared" si="0"/>
        <v>0.17666694179830275</v>
      </c>
    </row>
    <row r="44" spans="10:11" x14ac:dyDescent="0.25">
      <c r="J44" s="105">
        <v>2.2294626339699999</v>
      </c>
      <c r="K44" s="92">
        <f t="shared" si="0"/>
        <v>0.14317824683955963</v>
      </c>
    </row>
    <row r="45" spans="10:11" x14ac:dyDescent="0.25">
      <c r="J45" s="105">
        <v>2.6009842389900002</v>
      </c>
      <c r="K45" s="92">
        <f t="shared" si="0"/>
        <v>0.16703772367459446</v>
      </c>
    </row>
    <row r="46" spans="10:11" x14ac:dyDescent="0.25">
      <c r="J46" s="105">
        <v>3.65687976246</v>
      </c>
      <c r="K46" s="92">
        <f t="shared" si="0"/>
        <v>0.23484835552490965</v>
      </c>
    </row>
    <row r="47" spans="10:11" x14ac:dyDescent="0.25">
      <c r="J47" s="105">
        <v>1.01404124466</v>
      </c>
      <c r="K47" s="92">
        <f t="shared" si="0"/>
        <v>6.51227095808673E-2</v>
      </c>
    </row>
    <row r="48" spans="10:11" x14ac:dyDescent="0.25">
      <c r="J48" s="105">
        <v>0.12590937587000001</v>
      </c>
      <c r="K48" s="92">
        <f t="shared" si="0"/>
        <v>8.0860219063767155E-3</v>
      </c>
    </row>
    <row r="60" spans="3:9" x14ac:dyDescent="0.25">
      <c r="C60" s="1" t="s">
        <v>126</v>
      </c>
    </row>
    <row r="63" spans="3:9" x14ac:dyDescent="0.25">
      <c r="H63" s="11" t="s">
        <v>127</v>
      </c>
      <c r="I63" s="2">
        <v>5300</v>
      </c>
    </row>
    <row r="64" spans="3:9" x14ac:dyDescent="0.25">
      <c r="H64" s="11" t="s">
        <v>128</v>
      </c>
      <c r="I64" s="2">
        <v>2300</v>
      </c>
    </row>
    <row r="65" spans="3:10" x14ac:dyDescent="0.25">
      <c r="H65" s="11" t="s">
        <v>129</v>
      </c>
      <c r="I65">
        <f>I63-I64</f>
        <v>3000</v>
      </c>
      <c r="J65">
        <f>I65/1000</f>
        <v>3</v>
      </c>
    </row>
    <row r="80" spans="3:10" x14ac:dyDescent="0.25">
      <c r="C80" s="11" t="s">
        <v>31</v>
      </c>
      <c r="D80">
        <f>J65/D12</f>
        <v>1.9123323563079102E-2</v>
      </c>
      <c r="E80">
        <f>D80*100</f>
        <v>1.9123323563079102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6:W183"/>
  <sheetViews>
    <sheetView tabSelected="1" topLeftCell="A158" zoomScale="106" zoomScaleNormal="106" workbookViewId="0">
      <selection activeCell="E183" sqref="D163:E183"/>
    </sheetView>
  </sheetViews>
  <sheetFormatPr baseColWidth="10" defaultRowHeight="13.2" x14ac:dyDescent="0.25"/>
  <cols>
    <col min="2" max="2" width="23.88671875" customWidth="1"/>
    <col min="3" max="3" width="15.44140625" customWidth="1"/>
    <col min="4" max="4" width="40" customWidth="1"/>
    <col min="5" max="5" width="14.44140625" customWidth="1"/>
    <col min="6" max="6" width="15.109375" customWidth="1"/>
    <col min="7" max="7" width="15.33203125" customWidth="1"/>
    <col min="8" max="8" width="14.88671875" customWidth="1"/>
    <col min="11" max="11" width="14.33203125" customWidth="1"/>
    <col min="12" max="12" width="15.109375" customWidth="1"/>
    <col min="13" max="13" width="14" customWidth="1"/>
    <col min="14" max="14" width="13.44140625" customWidth="1"/>
    <col min="19" max="19" width="13.88671875" bestFit="1" customWidth="1"/>
  </cols>
  <sheetData>
    <row r="6" spans="8:12" ht="27.6" x14ac:dyDescent="0.25">
      <c r="H6" s="14" t="s">
        <v>41</v>
      </c>
      <c r="I6" s="15" t="s">
        <v>42</v>
      </c>
      <c r="J6" s="15" t="s">
        <v>43</v>
      </c>
      <c r="K6" s="15" t="s">
        <v>44</v>
      </c>
      <c r="L6" s="15" t="s">
        <v>45</v>
      </c>
    </row>
    <row r="7" spans="8:12" ht="13.8" x14ac:dyDescent="0.25">
      <c r="H7" s="16">
        <v>10</v>
      </c>
      <c r="I7" s="17">
        <v>59.28</v>
      </c>
      <c r="J7" s="17">
        <v>71.14</v>
      </c>
      <c r="K7" s="17">
        <v>85.38</v>
      </c>
      <c r="L7" s="17">
        <v>108.67</v>
      </c>
    </row>
    <row r="8" spans="8:12" ht="13.8" x14ac:dyDescent="0.25">
      <c r="H8" s="16">
        <v>20</v>
      </c>
      <c r="I8" s="17">
        <v>35.25</v>
      </c>
      <c r="J8" s="17">
        <v>42.3</v>
      </c>
      <c r="K8" s="17">
        <v>50.77</v>
      </c>
      <c r="L8" s="17">
        <v>64.61</v>
      </c>
    </row>
    <row r="9" spans="8:12" ht="13.8" x14ac:dyDescent="0.25">
      <c r="H9" s="16">
        <v>30</v>
      </c>
      <c r="I9" s="17">
        <v>26</v>
      </c>
      <c r="J9" s="17">
        <v>31.21</v>
      </c>
      <c r="K9" s="17">
        <v>37.450000000000003</v>
      </c>
      <c r="L9" s="17">
        <v>47.67</v>
      </c>
    </row>
    <row r="10" spans="8:12" ht="13.8" x14ac:dyDescent="0.25">
      <c r="H10" s="16">
        <v>40</v>
      </c>
      <c r="I10" s="17">
        <v>20.96</v>
      </c>
      <c r="J10" s="17">
        <v>25.15</v>
      </c>
      <c r="K10" s="17">
        <v>30.19</v>
      </c>
      <c r="L10" s="17">
        <v>38.42</v>
      </c>
    </row>
    <row r="11" spans="8:12" ht="13.8" x14ac:dyDescent="0.25">
      <c r="H11" s="16">
        <v>50</v>
      </c>
      <c r="I11" s="17">
        <v>17.73</v>
      </c>
      <c r="J11" s="17">
        <v>21.28</v>
      </c>
      <c r="K11" s="17">
        <v>25.53</v>
      </c>
      <c r="L11" s="17">
        <v>32.5</v>
      </c>
    </row>
    <row r="12" spans="8:12" ht="13.8" x14ac:dyDescent="0.25">
      <c r="H12" s="16">
        <v>60</v>
      </c>
      <c r="I12" s="17">
        <v>15.46</v>
      </c>
      <c r="J12" s="17">
        <v>18.559999999999999</v>
      </c>
      <c r="K12" s="17">
        <v>22.27</v>
      </c>
      <c r="L12" s="17">
        <v>28.35</v>
      </c>
    </row>
    <row r="13" spans="8:12" ht="13.8" x14ac:dyDescent="0.25">
      <c r="H13" s="16">
        <v>70</v>
      </c>
      <c r="I13" s="17">
        <v>13.77</v>
      </c>
      <c r="J13" s="17">
        <v>16.53</v>
      </c>
      <c r="K13" s="17">
        <v>19.84</v>
      </c>
      <c r="L13" s="17">
        <v>25.25</v>
      </c>
    </row>
    <row r="14" spans="8:12" ht="13.8" x14ac:dyDescent="0.25">
      <c r="H14" s="16">
        <v>80</v>
      </c>
      <c r="I14" s="17">
        <v>12.46</v>
      </c>
      <c r="J14" s="17">
        <v>14.96</v>
      </c>
      <c r="K14" s="17">
        <v>17.95</v>
      </c>
      <c r="L14" s="17">
        <v>22.84</v>
      </c>
    </row>
    <row r="15" spans="8:12" ht="13.8" x14ac:dyDescent="0.25">
      <c r="H15" s="16">
        <v>90</v>
      </c>
      <c r="I15" s="17">
        <v>11.41</v>
      </c>
      <c r="J15" s="17">
        <v>13.69</v>
      </c>
      <c r="K15" s="17">
        <v>16.43</v>
      </c>
      <c r="L15" s="17">
        <v>20.91</v>
      </c>
    </row>
    <row r="16" spans="8:12" ht="13.8" x14ac:dyDescent="0.25">
      <c r="H16" s="16">
        <v>100</v>
      </c>
      <c r="I16" s="17">
        <v>10.54</v>
      </c>
      <c r="J16" s="17">
        <v>12.65</v>
      </c>
      <c r="K16" s="17">
        <v>15.18</v>
      </c>
      <c r="L16" s="17">
        <v>19.32</v>
      </c>
    </row>
    <row r="17" spans="8:12" ht="13.8" x14ac:dyDescent="0.25">
      <c r="H17" s="16">
        <v>110</v>
      </c>
      <c r="I17" s="17">
        <v>9.81</v>
      </c>
      <c r="J17" s="17">
        <v>11.78</v>
      </c>
      <c r="K17" s="17">
        <v>14.14</v>
      </c>
      <c r="L17" s="17">
        <v>17.989999999999998</v>
      </c>
    </row>
    <row r="18" spans="8:12" ht="13.8" x14ac:dyDescent="0.25">
      <c r="H18" s="16">
        <v>120</v>
      </c>
      <c r="I18" s="17">
        <v>9.19</v>
      </c>
      <c r="J18" s="17">
        <v>11.03</v>
      </c>
      <c r="K18" s="17">
        <v>13.24</v>
      </c>
      <c r="L18" s="17">
        <v>16.850000000000001</v>
      </c>
    </row>
    <row r="43" spans="5:23" ht="14.4" x14ac:dyDescent="0.3">
      <c r="R43" s="139" t="s">
        <v>223</v>
      </c>
      <c r="S43" s="139"/>
      <c r="T43" s="139"/>
      <c r="U43" s="139"/>
      <c r="V43" s="139"/>
      <c r="W43" s="139"/>
    </row>
    <row r="44" spans="5:23" ht="26.4" x14ac:dyDescent="0.3">
      <c r="E44" s="18" t="s">
        <v>46</v>
      </c>
      <c r="F44" s="18" t="s">
        <v>219</v>
      </c>
      <c r="G44" s="18" t="s">
        <v>48</v>
      </c>
      <c r="H44" s="18" t="s">
        <v>49</v>
      </c>
      <c r="I44" s="18" t="s">
        <v>50</v>
      </c>
      <c r="J44" s="19" t="s">
        <v>51</v>
      </c>
      <c r="K44" s="18" t="s">
        <v>52</v>
      </c>
      <c r="L44" s="18" t="s">
        <v>53</v>
      </c>
      <c r="M44" s="19" t="s">
        <v>54</v>
      </c>
      <c r="R44" s="85" t="s">
        <v>107</v>
      </c>
      <c r="S44" s="85" t="s">
        <v>108</v>
      </c>
      <c r="T44" s="85" t="s">
        <v>109</v>
      </c>
      <c r="U44" s="85" t="s">
        <v>110</v>
      </c>
      <c r="V44" s="85" t="s">
        <v>111</v>
      </c>
      <c r="W44" s="85" t="s">
        <v>112</v>
      </c>
    </row>
    <row r="45" spans="5:23" ht="14.4" x14ac:dyDescent="0.3">
      <c r="E45" s="20">
        <v>1</v>
      </c>
      <c r="F45" s="21" t="s">
        <v>224</v>
      </c>
      <c r="G45" s="22">
        <f>R45</f>
        <v>2442.76134525</v>
      </c>
      <c r="H45" s="22">
        <f>S45</f>
        <v>342.32800977800002</v>
      </c>
      <c r="I45" s="22">
        <f>T45</f>
        <v>122.664244</v>
      </c>
      <c r="J45" s="22">
        <v>1.788E-2</v>
      </c>
      <c r="K45" s="23">
        <f>0.06628*(I45^0.77/J45^0.385)</f>
        <v>12.662919800781632</v>
      </c>
      <c r="L45" s="23">
        <f>0.2433*(I45/(G45^0.1*J45^0.2))</f>
        <v>30.591339139307294</v>
      </c>
      <c r="M45" s="23">
        <f>0.3*(I45^0.76/J45^0.19)</f>
        <v>24.922815171597005</v>
      </c>
      <c r="N45" s="2">
        <v>1.32</v>
      </c>
      <c r="R45" s="116">
        <f>'PENDIENTE_CUENCA-_ALTM_HIPSO'!E12</f>
        <v>2442.76134525</v>
      </c>
      <c r="S45" s="107">
        <f>'PENDIENTE_CUENCA-_ALTM_HIPSO'!E11</f>
        <v>342.32800977800002</v>
      </c>
      <c r="T45" s="107">
        <f>E52</f>
        <v>122.664244</v>
      </c>
      <c r="U45" s="107">
        <f>'Rectángulo equivalente'!I64</f>
        <v>2300</v>
      </c>
      <c r="V45" s="107">
        <f>'Rectángulo equivalente'!I63</f>
        <v>5300</v>
      </c>
      <c r="W45" s="87">
        <f>(((V45-U45)/1000)/T45)*100</f>
        <v>2.4457004764974544</v>
      </c>
    </row>
    <row r="48" spans="5:23" x14ac:dyDescent="0.25">
      <c r="Q48">
        <f>4281-4133</f>
        <v>148</v>
      </c>
    </row>
    <row r="50" spans="2:19" ht="13.8" x14ac:dyDescent="0.25">
      <c r="B50" s="141" t="s">
        <v>218</v>
      </c>
      <c r="C50" s="141" t="s">
        <v>55</v>
      </c>
      <c r="D50" s="141" t="s">
        <v>56</v>
      </c>
      <c r="E50" s="140" t="s">
        <v>57</v>
      </c>
      <c r="F50" s="140" t="s">
        <v>58</v>
      </c>
      <c r="G50" s="140" t="s">
        <v>59</v>
      </c>
      <c r="H50" s="142" t="s">
        <v>60</v>
      </c>
      <c r="I50" s="142"/>
      <c r="J50" s="142"/>
      <c r="K50" s="140" t="s">
        <v>61</v>
      </c>
      <c r="L50" s="140" t="s">
        <v>62</v>
      </c>
      <c r="M50" s="140" t="s">
        <v>63</v>
      </c>
      <c r="N50" s="140" t="s">
        <v>64</v>
      </c>
      <c r="O50" s="140" t="s">
        <v>65</v>
      </c>
    </row>
    <row r="51" spans="2:19" ht="27.6" x14ac:dyDescent="0.25">
      <c r="B51" s="141"/>
      <c r="C51" s="141"/>
      <c r="D51" s="141"/>
      <c r="E51" s="140"/>
      <c r="F51" s="140"/>
      <c r="G51" s="140"/>
      <c r="H51" s="24" t="s">
        <v>66</v>
      </c>
      <c r="I51" s="24" t="s">
        <v>67</v>
      </c>
      <c r="J51" s="24" t="s">
        <v>68</v>
      </c>
      <c r="K51" s="140"/>
      <c r="L51" s="140"/>
      <c r="M51" s="140"/>
      <c r="N51" s="140"/>
      <c r="O51" s="140"/>
      <c r="P51" s="25"/>
      <c r="Q51" s="25"/>
    </row>
    <row r="52" spans="2:19" ht="13.8" x14ac:dyDescent="0.25">
      <c r="B52" s="16" t="s">
        <v>224</v>
      </c>
      <c r="C52" s="23">
        <f>G45</f>
        <v>2442.76134525</v>
      </c>
      <c r="D52" s="23">
        <v>1162</v>
      </c>
      <c r="E52" s="23">
        <f>G90</f>
        <v>122.664244</v>
      </c>
      <c r="F52" s="23">
        <f>J45</f>
        <v>1.788E-2</v>
      </c>
      <c r="G52" s="23">
        <f>N45</f>
        <v>1.32</v>
      </c>
      <c r="H52" s="23">
        <f>B58</f>
        <v>0.79200000000000004</v>
      </c>
      <c r="I52" s="23">
        <f>B66</f>
        <v>1.9409125293076057</v>
      </c>
      <c r="J52" s="23">
        <f>B69</f>
        <v>5.1822364532513072</v>
      </c>
      <c r="K52" s="23">
        <v>0.1144</v>
      </c>
      <c r="L52" s="23">
        <v>69</v>
      </c>
      <c r="M52" s="23">
        <v>43.7</v>
      </c>
      <c r="N52" s="23">
        <f>(L52*(M52+50.8)-5080)^2/(L52*(L52*(43.2-203.2)+20320))</f>
        <v>3.2406300755872066</v>
      </c>
      <c r="O52" s="23">
        <f>K52*N52*C52</f>
        <v>905.60022500364721</v>
      </c>
      <c r="P52" s="25"/>
      <c r="Q52" s="25"/>
    </row>
    <row r="53" spans="2:19" ht="13.8" x14ac:dyDescent="0.25">
      <c r="B53" s="25"/>
      <c r="C53" s="25"/>
      <c r="D53" s="25"/>
      <c r="E53" s="25"/>
      <c r="F53" s="25"/>
      <c r="G53" s="25"/>
      <c r="H53" s="25"/>
      <c r="I53" s="25"/>
      <c r="J53" s="25"/>
      <c r="K53" s="25"/>
      <c r="L53" s="25"/>
      <c r="M53" s="25"/>
      <c r="N53" s="25"/>
      <c r="O53" s="25"/>
      <c r="P53" s="25"/>
      <c r="Q53" s="25"/>
    </row>
    <row r="54" spans="2:19" ht="13.8" x14ac:dyDescent="0.25">
      <c r="B54" s="25"/>
      <c r="C54" s="25"/>
      <c r="D54" s="25"/>
      <c r="E54" s="25"/>
      <c r="F54" s="25"/>
      <c r="G54" s="25"/>
      <c r="H54" s="25"/>
      <c r="I54" s="25"/>
      <c r="J54" s="25"/>
      <c r="K54" s="25"/>
      <c r="L54" s="25"/>
      <c r="M54" s="25"/>
      <c r="N54" s="25"/>
      <c r="O54" s="25"/>
      <c r="P54" s="25"/>
      <c r="Q54" s="25"/>
    </row>
    <row r="55" spans="2:19" ht="13.8" x14ac:dyDescent="0.25">
      <c r="B55" s="25"/>
      <c r="C55" s="25"/>
      <c r="D55" s="25"/>
      <c r="E55" s="25"/>
      <c r="F55" s="25"/>
      <c r="G55" s="25"/>
      <c r="H55" s="25"/>
      <c r="I55" s="25"/>
      <c r="J55" s="25"/>
      <c r="K55" s="25"/>
      <c r="L55" s="25"/>
      <c r="M55" s="25"/>
      <c r="N55" s="25"/>
      <c r="O55" s="25">
        <f>43.2*2</f>
        <v>86.4</v>
      </c>
      <c r="P55" s="25"/>
      <c r="Q55" s="25"/>
      <c r="S55">
        <f>W45/1000</f>
        <v>2.4457004764974542E-3</v>
      </c>
    </row>
    <row r="56" spans="2:19" ht="13.8" x14ac:dyDescent="0.25">
      <c r="B56" s="25"/>
      <c r="C56" s="25"/>
      <c r="D56" s="25"/>
      <c r="E56" s="25"/>
      <c r="F56" s="25"/>
      <c r="G56" s="25"/>
      <c r="H56" s="25"/>
      <c r="I56" s="25"/>
      <c r="J56" s="25"/>
      <c r="K56" s="25"/>
      <c r="L56" s="25"/>
      <c r="M56" s="25"/>
      <c r="N56" s="25"/>
      <c r="O56" s="25">
        <f>1650*O55</f>
        <v>142560</v>
      </c>
      <c r="P56" s="25"/>
      <c r="Q56" s="25"/>
      <c r="S56">
        <f>J45/1000</f>
        <v>1.7880000000000002E-5</v>
      </c>
    </row>
    <row r="57" spans="2:19" ht="13.8" x14ac:dyDescent="0.25">
      <c r="B57" s="25"/>
      <c r="C57" s="25"/>
      <c r="D57" s="25"/>
      <c r="E57" s="25"/>
      <c r="F57" s="25"/>
      <c r="G57" s="25"/>
      <c r="H57" s="25"/>
      <c r="I57" s="25"/>
      <c r="J57" s="25"/>
      <c r="K57" s="25"/>
      <c r="L57" s="25"/>
      <c r="M57" s="25"/>
      <c r="N57" s="25"/>
      <c r="O57" s="25">
        <f>O56*30</f>
        <v>4276800</v>
      </c>
      <c r="P57" s="25"/>
      <c r="Q57" s="25"/>
    </row>
    <row r="58" spans="2:19" ht="13.8" x14ac:dyDescent="0.25">
      <c r="B58" s="25">
        <f>0.6*G52</f>
        <v>0.79200000000000004</v>
      </c>
      <c r="C58" s="25"/>
      <c r="D58" s="25"/>
      <c r="E58" s="25"/>
      <c r="F58" s="25"/>
      <c r="G58" s="25"/>
      <c r="H58" s="25"/>
      <c r="I58" s="25"/>
      <c r="J58" s="25"/>
      <c r="K58" s="25"/>
      <c r="L58" s="25"/>
      <c r="M58" s="25"/>
      <c r="N58" s="25"/>
      <c r="O58" s="25">
        <f>O57*3</f>
        <v>12830400</v>
      </c>
      <c r="P58" s="25"/>
      <c r="Q58" s="25"/>
    </row>
    <row r="59" spans="2:19" ht="13.8" x14ac:dyDescent="0.25">
      <c r="B59" s="25"/>
      <c r="C59" s="25"/>
      <c r="D59" s="25"/>
      <c r="E59" s="25"/>
      <c r="F59" s="25"/>
      <c r="G59" s="25"/>
      <c r="H59" s="25"/>
      <c r="I59" s="25"/>
      <c r="J59" s="25"/>
      <c r="K59" s="25"/>
      <c r="L59" s="25"/>
      <c r="M59" s="25"/>
      <c r="N59" s="25"/>
      <c r="O59" s="25"/>
      <c r="P59" s="25"/>
      <c r="Q59" s="25"/>
    </row>
    <row r="60" spans="2:19" ht="13.8" x14ac:dyDescent="0.25">
      <c r="B60" s="25"/>
      <c r="C60" s="25"/>
      <c r="D60" s="25"/>
      <c r="E60" s="25"/>
      <c r="F60" s="25"/>
      <c r="G60" s="25"/>
      <c r="H60" s="25"/>
      <c r="I60" s="25"/>
      <c r="J60" s="25"/>
      <c r="K60" s="25"/>
      <c r="L60" s="25"/>
      <c r="M60" s="25"/>
      <c r="N60" s="25"/>
      <c r="O60" s="25"/>
      <c r="P60" s="25"/>
      <c r="Q60" s="25"/>
    </row>
    <row r="61" spans="2:19" ht="30" x14ac:dyDescent="0.25">
      <c r="B61" s="25"/>
      <c r="C61" s="25"/>
      <c r="D61" s="25"/>
      <c r="E61" s="25"/>
      <c r="F61" s="25"/>
      <c r="G61" s="25"/>
      <c r="H61" s="25"/>
      <c r="I61" s="25"/>
      <c r="J61" s="25"/>
      <c r="K61" s="25"/>
      <c r="L61" s="25"/>
      <c r="M61" s="25"/>
      <c r="N61" s="25"/>
      <c r="O61" s="100" t="s">
        <v>191</v>
      </c>
      <c r="P61" s="25"/>
      <c r="Q61" s="25"/>
    </row>
    <row r="62" spans="2:19" ht="13.8" x14ac:dyDescent="0.25">
      <c r="B62" s="25">
        <f>2*SQRT(G52)</f>
        <v>2.2978250586152114</v>
      </c>
      <c r="C62" s="25"/>
      <c r="D62" s="25"/>
      <c r="E62" s="25"/>
      <c r="F62" s="25"/>
      <c r="G62" s="25"/>
      <c r="H62" s="25"/>
      <c r="I62" s="25"/>
      <c r="J62" s="25"/>
      <c r="K62" s="25"/>
      <c r="L62" s="25"/>
      <c r="M62" s="25"/>
      <c r="N62" s="25" t="s">
        <v>192</v>
      </c>
      <c r="O62" s="25">
        <f>1.34*9.12</f>
        <v>12.220800000000001</v>
      </c>
      <c r="P62" s="25"/>
      <c r="Q62" s="25"/>
    </row>
    <row r="65" spans="2:15" x14ac:dyDescent="0.25">
      <c r="N65" s="11" t="s">
        <v>193</v>
      </c>
      <c r="O65" s="11"/>
    </row>
    <row r="66" spans="2:15" x14ac:dyDescent="0.25">
      <c r="B66">
        <f>(B62/2)+B58</f>
        <v>1.9409125293076057</v>
      </c>
    </row>
    <row r="68" spans="2:15" ht="16.8" x14ac:dyDescent="0.25">
      <c r="C68" s="26" t="s">
        <v>69</v>
      </c>
    </row>
    <row r="69" spans="2:15" x14ac:dyDescent="0.25">
      <c r="B69">
        <f>2.67*B66</f>
        <v>5.1822364532513072</v>
      </c>
    </row>
    <row r="75" spans="2:15" ht="15.6" x14ac:dyDescent="0.25">
      <c r="E75" s="45" t="s">
        <v>70</v>
      </c>
      <c r="F75" s="46" t="s">
        <v>96</v>
      </c>
    </row>
    <row r="76" spans="2:15" ht="13.8" x14ac:dyDescent="0.25">
      <c r="E76" s="43">
        <v>0</v>
      </c>
      <c r="F76" s="43">
        <v>0</v>
      </c>
    </row>
    <row r="77" spans="2:15" ht="13.8" x14ac:dyDescent="0.25">
      <c r="E77" s="44">
        <f>I52</f>
        <v>1.9409125293076057</v>
      </c>
      <c r="F77" s="44">
        <f>O52</f>
        <v>905.60022500364721</v>
      </c>
    </row>
    <row r="78" spans="2:15" ht="13.8" x14ac:dyDescent="0.25">
      <c r="E78" s="44">
        <f>J52</f>
        <v>5.1822364532513072</v>
      </c>
      <c r="F78" s="43">
        <v>0</v>
      </c>
    </row>
    <row r="88" spans="2:13" ht="14.4" x14ac:dyDescent="0.3">
      <c r="E88" s="139" t="s">
        <v>223</v>
      </c>
      <c r="F88" s="139"/>
      <c r="G88" s="139"/>
      <c r="H88" s="139"/>
      <c r="I88" s="139"/>
      <c r="J88" s="139"/>
      <c r="K88" s="88"/>
      <c r="L88" s="88"/>
      <c r="M88" s="88"/>
    </row>
    <row r="89" spans="2:13" ht="13.8" x14ac:dyDescent="0.3">
      <c r="B89" s="1"/>
      <c r="C89" s="1"/>
      <c r="E89" s="85" t="s">
        <v>107</v>
      </c>
      <c r="F89" s="85" t="s">
        <v>108</v>
      </c>
      <c r="G89" s="85" t="s">
        <v>109</v>
      </c>
      <c r="H89" s="85" t="s">
        <v>110</v>
      </c>
      <c r="I89" s="85" t="s">
        <v>111</v>
      </c>
      <c r="J89" s="85" t="s">
        <v>112</v>
      </c>
      <c r="K89" s="85"/>
      <c r="L89" s="85"/>
      <c r="M89" s="85"/>
    </row>
    <row r="90" spans="2:13" ht="14.4" x14ac:dyDescent="0.3">
      <c r="E90" s="116">
        <f>'PENDIENTE_CUENCA-_ALTM_HIPSO'!E12</f>
        <v>2442.76134525</v>
      </c>
      <c r="F90" s="117">
        <f>'PENDIENTE_CUENCA-_ALTM_HIPSO'!E11</f>
        <v>342.32800977800002</v>
      </c>
      <c r="G90" s="107">
        <v>122.664244</v>
      </c>
      <c r="H90" s="86">
        <f>U45</f>
        <v>2300</v>
      </c>
      <c r="I90" s="86">
        <f>V45</f>
        <v>5300</v>
      </c>
      <c r="J90" s="87">
        <f>(((I90-H90)/1000)/G90)*100</f>
        <v>2.4457004764974544</v>
      </c>
      <c r="K90" s="86"/>
      <c r="L90" s="86"/>
      <c r="M90" s="88"/>
    </row>
    <row r="91" spans="2:13" x14ac:dyDescent="0.25">
      <c r="E91" s="108"/>
      <c r="F91" s="108"/>
      <c r="G91" s="108"/>
      <c r="H91" s="108"/>
      <c r="I91" s="108"/>
      <c r="J91" s="108"/>
      <c r="K91" s="108"/>
      <c r="L91" s="108"/>
      <c r="M91" s="108"/>
    </row>
    <row r="92" spans="2:13" ht="14.4" x14ac:dyDescent="0.3">
      <c r="E92" s="114">
        <f>130.51*1000000</f>
        <v>130509999.99999999</v>
      </c>
      <c r="F92" s="114"/>
      <c r="G92" s="114"/>
      <c r="H92" s="114"/>
      <c r="I92" s="114"/>
      <c r="J92" s="114"/>
      <c r="K92" s="109"/>
      <c r="L92" s="109"/>
      <c r="M92" s="109"/>
    </row>
    <row r="93" spans="2:13" ht="13.8" x14ac:dyDescent="0.3">
      <c r="E93" s="110"/>
      <c r="F93" s="110"/>
      <c r="G93" s="110"/>
      <c r="H93" s="110"/>
      <c r="I93" s="110"/>
      <c r="J93" s="110"/>
      <c r="K93" s="110"/>
      <c r="L93" s="110"/>
      <c r="M93" s="110"/>
    </row>
    <row r="94" spans="2:13" ht="14.4" x14ac:dyDescent="0.3">
      <c r="E94" s="111"/>
      <c r="F94" s="112"/>
      <c r="G94" s="112">
        <f>G90*1000</f>
        <v>122664.24399999999</v>
      </c>
      <c r="H94" s="112"/>
      <c r="I94" s="112"/>
      <c r="J94" s="113"/>
      <c r="K94" s="112"/>
      <c r="L94" s="112"/>
      <c r="M94" s="109"/>
    </row>
    <row r="95" spans="2:13" x14ac:dyDescent="0.25">
      <c r="E95" s="109"/>
      <c r="F95" s="109"/>
      <c r="G95" s="109"/>
      <c r="H95" s="109"/>
      <c r="I95" s="109"/>
      <c r="J95" s="109"/>
      <c r="K95" s="109"/>
      <c r="L95" s="109"/>
      <c r="M95" s="109"/>
    </row>
    <row r="96" spans="2:13" ht="14.4" x14ac:dyDescent="0.3">
      <c r="E96" s="114"/>
      <c r="F96" s="114"/>
      <c r="G96" s="114"/>
      <c r="H96" s="114"/>
      <c r="I96" s="114"/>
      <c r="J96" s="114"/>
      <c r="K96" s="109"/>
      <c r="L96" s="109"/>
      <c r="M96" s="109"/>
    </row>
    <row r="97" spans="1:13" ht="13.8" x14ac:dyDescent="0.3">
      <c r="E97" s="110"/>
      <c r="F97" s="110"/>
      <c r="G97" s="110" t="s">
        <v>220</v>
      </c>
      <c r="H97" s="110">
        <f>E90/G90</f>
        <v>19.914208620158291</v>
      </c>
      <c r="I97" s="110"/>
      <c r="J97" s="110"/>
      <c r="K97" s="110"/>
      <c r="L97" s="110"/>
      <c r="M97" s="110"/>
    </row>
    <row r="98" spans="1:13" ht="14.4" x14ac:dyDescent="0.3">
      <c r="E98" s="111"/>
      <c r="F98" s="112"/>
      <c r="G98" s="112"/>
      <c r="H98" s="112"/>
      <c r="I98" s="112"/>
      <c r="J98" s="113"/>
      <c r="K98" s="112"/>
      <c r="L98" s="112"/>
      <c r="M98" s="109"/>
    </row>
    <row r="99" spans="1:13" x14ac:dyDescent="0.25">
      <c r="E99" s="109"/>
      <c r="F99" s="109"/>
      <c r="G99" s="109"/>
      <c r="H99" s="109"/>
      <c r="I99" s="109"/>
      <c r="J99" s="109"/>
      <c r="K99" s="109"/>
      <c r="L99" s="109"/>
      <c r="M99" s="109"/>
    </row>
    <row r="100" spans="1:13" x14ac:dyDescent="0.25">
      <c r="E100" s="109"/>
      <c r="F100" s="109"/>
      <c r="G100" s="109"/>
      <c r="H100" s="109"/>
      <c r="I100" s="109"/>
      <c r="J100" s="109"/>
      <c r="K100" s="109"/>
      <c r="L100" s="109"/>
      <c r="M100" s="109"/>
    </row>
    <row r="101" spans="1:13" x14ac:dyDescent="0.25">
      <c r="A101">
        <v>3</v>
      </c>
      <c r="B101" s="1" t="s">
        <v>106</v>
      </c>
      <c r="E101" s="109"/>
      <c r="F101" s="109"/>
      <c r="G101" s="109"/>
      <c r="H101" s="109"/>
      <c r="I101" s="109"/>
      <c r="J101" s="109"/>
      <c r="K101" s="109"/>
      <c r="L101" s="109"/>
      <c r="M101" s="109"/>
    </row>
    <row r="102" spans="1:13" x14ac:dyDescent="0.25">
      <c r="E102" s="109"/>
      <c r="F102" s="109"/>
      <c r="G102" s="109"/>
      <c r="H102" s="109"/>
      <c r="I102" s="109"/>
      <c r="J102" s="109"/>
      <c r="K102" s="109"/>
      <c r="L102" s="109"/>
      <c r="M102" s="109"/>
    </row>
    <row r="103" spans="1:13" x14ac:dyDescent="0.25">
      <c r="E103" s="108"/>
      <c r="F103" s="108"/>
      <c r="G103" s="108"/>
      <c r="H103" s="108"/>
      <c r="I103" s="108"/>
      <c r="J103" s="108"/>
      <c r="K103" s="108"/>
      <c r="L103" s="108"/>
      <c r="M103" s="108"/>
    </row>
    <row r="111" spans="1:13" x14ac:dyDescent="0.25">
      <c r="B111" s="88"/>
      <c r="C111" s="88"/>
      <c r="D111" s="88"/>
      <c r="E111" s="88"/>
    </row>
    <row r="112" spans="1:13" x14ac:dyDescent="0.25">
      <c r="B112" s="89" t="s">
        <v>225</v>
      </c>
      <c r="C112" s="88"/>
      <c r="D112" s="89" t="s">
        <v>114</v>
      </c>
      <c r="E112" s="90">
        <f>E90/(G90)^2</f>
        <v>0.16234729837130282</v>
      </c>
    </row>
    <row r="113" spans="1:5" x14ac:dyDescent="0.25">
      <c r="B113" s="88"/>
      <c r="C113" s="88"/>
      <c r="D113" s="88"/>
      <c r="E113" s="90"/>
    </row>
    <row r="114" spans="1:5" x14ac:dyDescent="0.25">
      <c r="B114" s="89"/>
      <c r="C114" s="88"/>
      <c r="D114" s="89"/>
      <c r="E114" s="90"/>
    </row>
    <row r="115" spans="1:5" x14ac:dyDescent="0.25">
      <c r="B115" s="88"/>
      <c r="C115" s="88"/>
      <c r="D115" s="88"/>
      <c r="E115" s="90"/>
    </row>
    <row r="116" spans="1:5" x14ac:dyDescent="0.25">
      <c r="B116" s="89"/>
      <c r="C116" s="88"/>
      <c r="D116" s="89"/>
      <c r="E116" s="90"/>
    </row>
    <row r="118" spans="1:5" x14ac:dyDescent="0.25">
      <c r="A118">
        <v>4</v>
      </c>
      <c r="B118" t="s">
        <v>116</v>
      </c>
    </row>
    <row r="124" spans="1:5" x14ac:dyDescent="0.25">
      <c r="B124" s="89" t="s">
        <v>226</v>
      </c>
      <c r="C124" s="90">
        <f>0.28*(F90/SQRT(E90))</f>
        <v>1.9393667570448534</v>
      </c>
    </row>
    <row r="125" spans="1:5" x14ac:dyDescent="0.25">
      <c r="B125" s="88"/>
      <c r="C125" s="90"/>
    </row>
    <row r="126" spans="1:5" x14ac:dyDescent="0.25">
      <c r="B126" s="88"/>
      <c r="C126" s="90"/>
    </row>
    <row r="128" spans="1:5" x14ac:dyDescent="0.25">
      <c r="A128">
        <v>5</v>
      </c>
      <c r="B128" s="1" t="s">
        <v>130</v>
      </c>
    </row>
    <row r="134" spans="1:10" x14ac:dyDescent="0.25">
      <c r="B134" s="89" t="s">
        <v>227</v>
      </c>
      <c r="C134" s="90">
        <f>H134/E90</f>
        <v>0.59419028339481628</v>
      </c>
      <c r="E134" s="11" t="s">
        <v>228</v>
      </c>
      <c r="H134">
        <v>1451.465056</v>
      </c>
      <c r="I134" s="11" t="s">
        <v>131</v>
      </c>
      <c r="J134">
        <f>H134*1000</f>
        <v>1451465.0560000001</v>
      </c>
    </row>
    <row r="135" spans="1:10" x14ac:dyDescent="0.25">
      <c r="B135" s="89"/>
      <c r="C135" s="90"/>
      <c r="E135" s="11"/>
      <c r="I135" s="11"/>
    </row>
    <row r="136" spans="1:10" x14ac:dyDescent="0.25">
      <c r="B136" s="89"/>
      <c r="C136" s="90"/>
      <c r="E136" s="11"/>
      <c r="I136" s="11"/>
    </row>
    <row r="139" spans="1:10" x14ac:dyDescent="0.25">
      <c r="A139">
        <v>6</v>
      </c>
      <c r="B139" s="1" t="s">
        <v>132</v>
      </c>
    </row>
    <row r="146" spans="1:6" x14ac:dyDescent="0.25">
      <c r="B146" s="89" t="s">
        <v>229</v>
      </c>
      <c r="C146" s="90">
        <f>E92/(4*J134)</f>
        <v>22.479011716559022</v>
      </c>
    </row>
    <row r="147" spans="1:6" x14ac:dyDescent="0.25">
      <c r="B147" s="89"/>
      <c r="C147" s="90"/>
    </row>
    <row r="148" spans="1:6" x14ac:dyDescent="0.25">
      <c r="B148" s="89"/>
      <c r="C148" s="90"/>
    </row>
    <row r="149" spans="1:6" x14ac:dyDescent="0.25">
      <c r="F149" s="11"/>
    </row>
    <row r="150" spans="1:6" x14ac:dyDescent="0.25">
      <c r="A150">
        <v>7</v>
      </c>
      <c r="B150" s="1" t="s">
        <v>133</v>
      </c>
    </row>
    <row r="156" spans="1:6" x14ac:dyDescent="0.25">
      <c r="B156" s="89" t="s">
        <v>230</v>
      </c>
      <c r="C156" s="90">
        <f>670/E90</f>
        <v>0.27427976183708197</v>
      </c>
    </row>
    <row r="157" spans="1:6" x14ac:dyDescent="0.25">
      <c r="B157" s="89"/>
      <c r="C157" s="90"/>
    </row>
    <row r="158" spans="1:6" x14ac:dyDescent="0.25">
      <c r="B158" s="89"/>
      <c r="C158" s="90"/>
    </row>
    <row r="161" spans="2:5" x14ac:dyDescent="0.25">
      <c r="B161" s="11" t="s">
        <v>231</v>
      </c>
    </row>
    <row r="162" spans="2:5" x14ac:dyDescent="0.25">
      <c r="B162" s="11"/>
    </row>
    <row r="163" spans="2:5" ht="13.8" x14ac:dyDescent="0.3">
      <c r="D163" s="162" t="s">
        <v>235</v>
      </c>
      <c r="E163" s="162"/>
    </row>
    <row r="164" spans="2:5" ht="13.8" x14ac:dyDescent="0.3">
      <c r="D164" s="163" t="s">
        <v>134</v>
      </c>
      <c r="E164" s="163" t="s">
        <v>135</v>
      </c>
    </row>
    <row r="165" spans="2:5" ht="13.8" x14ac:dyDescent="0.3">
      <c r="D165" s="164" t="s">
        <v>217</v>
      </c>
      <c r="E165" s="165">
        <f>E90</f>
        <v>2442.76134525</v>
      </c>
    </row>
    <row r="166" spans="2:5" ht="13.8" x14ac:dyDescent="0.3">
      <c r="D166" s="164" t="s">
        <v>214</v>
      </c>
      <c r="E166" s="165">
        <f>F90</f>
        <v>342.32800977800002</v>
      </c>
    </row>
    <row r="167" spans="2:5" ht="13.8" x14ac:dyDescent="0.3">
      <c r="D167" s="164" t="s">
        <v>136</v>
      </c>
      <c r="E167" s="165">
        <f>'PENDIENTE_CUENCA-_ALTM_HIPSO'!H80</f>
        <v>4126.4939263399083</v>
      </c>
    </row>
    <row r="168" spans="2:5" ht="13.8" x14ac:dyDescent="0.3">
      <c r="D168" s="164" t="s">
        <v>137</v>
      </c>
      <c r="E168" s="165">
        <f>C124</f>
        <v>1.9393667570448534</v>
      </c>
    </row>
    <row r="169" spans="2:5" ht="13.8" x14ac:dyDescent="0.3">
      <c r="D169" s="164" t="s">
        <v>138</v>
      </c>
      <c r="E169" s="165">
        <f>E112</f>
        <v>0.16234729837130282</v>
      </c>
    </row>
    <row r="170" spans="2:5" ht="13.8" x14ac:dyDescent="0.3">
      <c r="D170" s="164" t="s">
        <v>215</v>
      </c>
      <c r="E170" s="165">
        <f>'Rectángulo equivalente'!D12</f>
        <v>156.87649639480142</v>
      </c>
    </row>
    <row r="171" spans="2:5" ht="13.8" x14ac:dyDescent="0.3">
      <c r="D171" s="164" t="s">
        <v>216</v>
      </c>
      <c r="E171" s="165">
        <f>'Rectángulo equivalente'!D28</f>
        <v>15.571238530866042</v>
      </c>
    </row>
    <row r="172" spans="2:5" ht="13.8" x14ac:dyDescent="0.3">
      <c r="D172" s="164" t="s">
        <v>139</v>
      </c>
      <c r="E172" s="165">
        <f>G90</f>
        <v>122.664244</v>
      </c>
    </row>
    <row r="173" spans="2:5" ht="13.8" x14ac:dyDescent="0.3">
      <c r="D173" s="164" t="s">
        <v>140</v>
      </c>
      <c r="E173" s="165">
        <f>H134</f>
        <v>1451.465056</v>
      </c>
    </row>
    <row r="174" spans="2:5" ht="13.8" x14ac:dyDescent="0.3">
      <c r="D174" s="164" t="s">
        <v>141</v>
      </c>
      <c r="E174" s="165" t="s">
        <v>232</v>
      </c>
    </row>
    <row r="175" spans="2:5" ht="13.8" x14ac:dyDescent="0.3">
      <c r="D175" s="164" t="s">
        <v>130</v>
      </c>
      <c r="E175" s="165">
        <f>C134</f>
        <v>0.59419028339481628</v>
      </c>
    </row>
    <row r="176" spans="2:5" ht="13.8" x14ac:dyDescent="0.3">
      <c r="D176" s="164" t="s">
        <v>146</v>
      </c>
      <c r="E176" s="166">
        <f>I90</f>
        <v>5300</v>
      </c>
    </row>
    <row r="177" spans="4:5" ht="13.8" x14ac:dyDescent="0.3">
      <c r="D177" s="164" t="s">
        <v>147</v>
      </c>
      <c r="E177" s="166">
        <f>H90</f>
        <v>2300</v>
      </c>
    </row>
    <row r="178" spans="4:5" ht="13.8" x14ac:dyDescent="0.3">
      <c r="D178" s="164" t="s">
        <v>148</v>
      </c>
      <c r="E178" s="166">
        <f>J90</f>
        <v>2.4457004764974544</v>
      </c>
    </row>
    <row r="179" spans="4:5" ht="13.8" x14ac:dyDescent="0.3">
      <c r="D179" s="164" t="s">
        <v>142</v>
      </c>
      <c r="E179" s="166">
        <f>C146</f>
        <v>22.479011716559022</v>
      </c>
    </row>
    <row r="180" spans="4:5" ht="13.8" x14ac:dyDescent="0.3">
      <c r="D180" s="164" t="s">
        <v>133</v>
      </c>
      <c r="E180" s="166">
        <f>C156</f>
        <v>0.27427976183708197</v>
      </c>
    </row>
    <row r="181" spans="4:5" ht="13.8" x14ac:dyDescent="0.3">
      <c r="D181" s="164" t="s">
        <v>213</v>
      </c>
      <c r="E181" s="166">
        <v>24.5</v>
      </c>
    </row>
    <row r="182" spans="4:5" ht="13.8" x14ac:dyDescent="0.3">
      <c r="D182" s="164" t="s">
        <v>233</v>
      </c>
      <c r="E182" s="166">
        <f>'PENDIENTE_CUENCA-_ALTM_HIPSO'!C164</f>
        <v>741.21732577957414</v>
      </c>
    </row>
    <row r="183" spans="4:5" ht="13.8" x14ac:dyDescent="0.3">
      <c r="D183" s="164" t="s">
        <v>234</v>
      </c>
      <c r="E183" s="166">
        <f>E165/E172</f>
        <v>19.914208620158291</v>
      </c>
    </row>
  </sheetData>
  <mergeCells count="15">
    <mergeCell ref="D163:E163"/>
    <mergeCell ref="R43:W43"/>
    <mergeCell ref="E88:J88"/>
    <mergeCell ref="O50:O51"/>
    <mergeCell ref="B50:B51"/>
    <mergeCell ref="C50:C51"/>
    <mergeCell ref="D50:D51"/>
    <mergeCell ref="E50:E51"/>
    <mergeCell ref="F50:F51"/>
    <mergeCell ref="G50:G51"/>
    <mergeCell ref="H50:J50"/>
    <mergeCell ref="K50:K51"/>
    <mergeCell ref="L50:L51"/>
    <mergeCell ref="M50:M51"/>
    <mergeCell ref="N50:N51"/>
  </mergeCells>
  <phoneticPr fontId="2" type="noConversion"/>
  <pageMargins left="0.75" right="0.75" top="1" bottom="1" header="0" footer="0"/>
  <pageSetup orientation="portrait" r:id="rId1"/>
  <headerFooter alignWithMargins="0"/>
  <drawing r:id="rId2"/>
  <legacyDrawing r:id="rId3"/>
  <oleObjects>
    <mc:AlternateContent xmlns:mc="http://schemas.openxmlformats.org/markup-compatibility/2006">
      <mc:Choice Requires="x14">
        <oleObject progId="Equation.3" shapeId="8193" r:id="rId4">
          <objectPr defaultSize="0" autoPict="0" r:id="rId5">
            <anchor moveWithCells="1" sizeWithCells="1">
              <from>
                <xdr:col>0</xdr:col>
                <xdr:colOff>518160</xdr:colOff>
                <xdr:row>55</xdr:row>
                <xdr:rowOff>76200</xdr:rowOff>
              </from>
              <to>
                <xdr:col>1</xdr:col>
                <xdr:colOff>525780</xdr:colOff>
                <xdr:row>57</xdr:row>
                <xdr:rowOff>0</xdr:rowOff>
              </to>
            </anchor>
          </objectPr>
        </oleObject>
      </mc:Choice>
      <mc:Fallback>
        <oleObject progId="Equation.3" shapeId="8193" r:id="rId4"/>
      </mc:Fallback>
    </mc:AlternateContent>
    <mc:AlternateContent xmlns:mc="http://schemas.openxmlformats.org/markup-compatibility/2006">
      <mc:Choice Requires="x14">
        <oleObject progId="Equation.3" shapeId="8194" r:id="rId6">
          <objectPr defaultSize="0" autoPict="0" r:id="rId7">
            <anchor moveWithCells="1" sizeWithCells="1">
              <from>
                <xdr:col>1</xdr:col>
                <xdr:colOff>274320</xdr:colOff>
                <xdr:row>58</xdr:row>
                <xdr:rowOff>68580</xdr:rowOff>
              </from>
              <to>
                <xdr:col>1</xdr:col>
                <xdr:colOff>990600</xdr:colOff>
                <xdr:row>59</xdr:row>
                <xdr:rowOff>175260</xdr:rowOff>
              </to>
            </anchor>
          </objectPr>
        </oleObject>
      </mc:Choice>
      <mc:Fallback>
        <oleObject progId="Equation.3" shapeId="8194" r:id="rId6"/>
      </mc:Fallback>
    </mc:AlternateContent>
    <mc:AlternateContent xmlns:mc="http://schemas.openxmlformats.org/markup-compatibility/2006">
      <mc:Choice Requires="x14">
        <oleObject progId="Equation.3" shapeId="8195" r:id="rId8">
          <objectPr defaultSize="0" autoPict="0" r:id="rId9">
            <anchor moveWithCells="1" sizeWithCells="1">
              <from>
                <xdr:col>1</xdr:col>
                <xdr:colOff>708660</xdr:colOff>
                <xdr:row>62</xdr:row>
                <xdr:rowOff>99060</xdr:rowOff>
              </from>
              <to>
                <xdr:col>2</xdr:col>
                <xdr:colOff>556260</xdr:colOff>
                <xdr:row>65</xdr:row>
                <xdr:rowOff>22860</xdr:rowOff>
              </to>
            </anchor>
          </objectPr>
        </oleObject>
      </mc:Choice>
      <mc:Fallback>
        <oleObject progId="Equation.3" shapeId="8195" r:id="rId8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2:I68"/>
  <sheetViews>
    <sheetView topLeftCell="A40" workbookViewId="0">
      <selection activeCell="D79" sqref="D79"/>
    </sheetView>
  </sheetViews>
  <sheetFormatPr baseColWidth="10" defaultRowHeight="13.2" x14ac:dyDescent="0.25"/>
  <cols>
    <col min="2" max="2" width="14.6640625" customWidth="1"/>
    <col min="4" max="4" width="14.5546875" customWidth="1"/>
  </cols>
  <sheetData>
    <row r="2" spans="2:9" ht="14.4" x14ac:dyDescent="0.3">
      <c r="B2" s="145" t="s">
        <v>72</v>
      </c>
      <c r="C2" s="145"/>
      <c r="D2" s="145" t="s">
        <v>73</v>
      </c>
      <c r="E2" s="145"/>
      <c r="F2" s="145" t="s">
        <v>74</v>
      </c>
      <c r="G2" s="145"/>
      <c r="H2" s="145" t="s">
        <v>75</v>
      </c>
      <c r="I2" s="145"/>
    </row>
    <row r="3" spans="2:9" ht="28.8" x14ac:dyDescent="0.3">
      <c r="B3" s="27" t="s">
        <v>76</v>
      </c>
      <c r="C3" s="28" t="s">
        <v>77</v>
      </c>
      <c r="D3" s="27" t="s">
        <v>76</v>
      </c>
      <c r="E3" s="28" t="s">
        <v>77</v>
      </c>
      <c r="F3" s="27" t="s">
        <v>76</v>
      </c>
      <c r="G3" s="28" t="s">
        <v>77</v>
      </c>
      <c r="H3" s="27" t="s">
        <v>76</v>
      </c>
      <c r="I3" s="28" t="s">
        <v>77</v>
      </c>
    </row>
    <row r="4" spans="2:9" ht="14.4" x14ac:dyDescent="0.3">
      <c r="B4" s="29">
        <v>1987</v>
      </c>
      <c r="C4" s="30">
        <v>22.5</v>
      </c>
      <c r="D4" s="29">
        <v>1983</v>
      </c>
      <c r="E4" s="30">
        <v>25</v>
      </c>
      <c r="F4" s="30">
        <v>1964</v>
      </c>
      <c r="G4" s="30">
        <v>58</v>
      </c>
      <c r="H4" s="30">
        <v>1999</v>
      </c>
      <c r="I4" s="30">
        <v>26.6</v>
      </c>
    </row>
    <row r="5" spans="2:9" ht="14.4" x14ac:dyDescent="0.3">
      <c r="B5" s="29">
        <v>1988</v>
      </c>
      <c r="C5" s="30">
        <v>21.5</v>
      </c>
      <c r="D5" s="29">
        <v>1984</v>
      </c>
      <c r="E5" s="30">
        <v>26.4</v>
      </c>
      <c r="F5" s="30">
        <v>1965</v>
      </c>
      <c r="G5" s="30">
        <v>39.1</v>
      </c>
      <c r="H5" s="29">
        <v>2000</v>
      </c>
      <c r="I5" s="30">
        <v>28.2</v>
      </c>
    </row>
    <row r="6" spans="2:9" ht="14.4" x14ac:dyDescent="0.3">
      <c r="B6" s="29">
        <v>1989</v>
      </c>
      <c r="C6" s="30">
        <v>20</v>
      </c>
      <c r="D6" s="29">
        <v>1985</v>
      </c>
      <c r="E6" s="30">
        <v>20.5</v>
      </c>
      <c r="F6" s="30">
        <v>1966</v>
      </c>
      <c r="G6" s="30">
        <v>43</v>
      </c>
      <c r="H6" s="29">
        <v>2001</v>
      </c>
      <c r="I6" s="30">
        <v>41.7</v>
      </c>
    </row>
    <row r="7" spans="2:9" ht="14.4" x14ac:dyDescent="0.3">
      <c r="B7" s="29">
        <v>1990</v>
      </c>
      <c r="C7" s="30">
        <v>24.5</v>
      </c>
      <c r="D7" s="29">
        <v>1986</v>
      </c>
      <c r="E7" s="30">
        <v>21.5</v>
      </c>
      <c r="F7" s="30">
        <v>1967</v>
      </c>
      <c r="G7" s="30">
        <v>26</v>
      </c>
      <c r="H7" s="29">
        <v>2002</v>
      </c>
      <c r="I7" s="30">
        <v>29.6</v>
      </c>
    </row>
    <row r="8" spans="2:9" ht="14.4" x14ac:dyDescent="0.3">
      <c r="B8" s="29">
        <v>1991</v>
      </c>
      <c r="C8" s="30">
        <v>22.2</v>
      </c>
      <c r="D8" s="29">
        <v>1987</v>
      </c>
      <c r="E8" s="30">
        <v>28.2</v>
      </c>
      <c r="F8" s="30">
        <v>1968</v>
      </c>
      <c r="G8" s="30">
        <v>52</v>
      </c>
      <c r="H8" s="29">
        <v>2003</v>
      </c>
      <c r="I8" s="30">
        <v>34.1</v>
      </c>
    </row>
    <row r="9" spans="2:9" ht="14.4" x14ac:dyDescent="0.3">
      <c r="B9" s="29">
        <v>1992</v>
      </c>
      <c r="C9" s="30">
        <v>25</v>
      </c>
      <c r="D9" s="29">
        <v>1988</v>
      </c>
      <c r="E9" s="30">
        <v>30.8</v>
      </c>
      <c r="F9" s="30">
        <v>1969</v>
      </c>
      <c r="G9" s="30">
        <v>28</v>
      </c>
      <c r="H9" s="29">
        <v>2004</v>
      </c>
      <c r="I9" s="30">
        <v>41</v>
      </c>
    </row>
    <row r="10" spans="2:9" ht="14.4" x14ac:dyDescent="0.3">
      <c r="B10" s="29">
        <v>1993</v>
      </c>
      <c r="C10" s="30">
        <v>27</v>
      </c>
      <c r="D10" s="29">
        <v>1989</v>
      </c>
      <c r="E10" s="30">
        <v>18</v>
      </c>
      <c r="F10" s="30">
        <v>1970</v>
      </c>
      <c r="G10" s="30">
        <v>28.6</v>
      </c>
      <c r="H10" s="29">
        <v>2005</v>
      </c>
      <c r="I10" s="30">
        <v>28</v>
      </c>
    </row>
    <row r="11" spans="2:9" ht="14.4" x14ac:dyDescent="0.3">
      <c r="B11" s="29">
        <v>1996</v>
      </c>
      <c r="C11" s="30">
        <v>35</v>
      </c>
      <c r="D11" s="29">
        <v>1990</v>
      </c>
      <c r="E11" s="30">
        <v>11.7</v>
      </c>
      <c r="F11" s="30">
        <v>1971</v>
      </c>
      <c r="G11" s="30">
        <v>33</v>
      </c>
      <c r="H11" s="29">
        <v>2006</v>
      </c>
      <c r="I11" s="30">
        <v>56.4</v>
      </c>
    </row>
    <row r="12" spans="2:9" ht="14.4" x14ac:dyDescent="0.3">
      <c r="B12" s="29">
        <v>1997</v>
      </c>
      <c r="C12" s="30">
        <v>37.200000000000003</v>
      </c>
      <c r="D12" s="29">
        <v>1991</v>
      </c>
      <c r="E12" s="30">
        <v>25.3</v>
      </c>
      <c r="F12" s="30">
        <v>1972</v>
      </c>
      <c r="G12" s="30">
        <v>31.2</v>
      </c>
      <c r="H12" s="29">
        <v>2007</v>
      </c>
      <c r="I12" s="30">
        <v>38.6</v>
      </c>
    </row>
    <row r="13" spans="2:9" ht="14.4" x14ac:dyDescent="0.3">
      <c r="B13" s="29">
        <v>1998</v>
      </c>
      <c r="C13" s="30">
        <v>24.9</v>
      </c>
      <c r="D13" s="29">
        <v>1992</v>
      </c>
      <c r="E13" s="30">
        <v>17.2</v>
      </c>
      <c r="F13" s="30">
        <v>1973</v>
      </c>
      <c r="G13" s="30">
        <v>41.6</v>
      </c>
      <c r="H13" s="29">
        <v>2008</v>
      </c>
      <c r="I13" s="30">
        <v>50.6</v>
      </c>
    </row>
    <row r="14" spans="2:9" ht="14.4" x14ac:dyDescent="0.3">
      <c r="B14" s="29">
        <v>1999</v>
      </c>
      <c r="C14" s="30">
        <v>40.200000000000003</v>
      </c>
      <c r="D14" s="29">
        <v>1993</v>
      </c>
      <c r="E14" s="30">
        <v>35.5</v>
      </c>
      <c r="F14" s="30">
        <v>1974</v>
      </c>
      <c r="G14" s="30">
        <v>46.5</v>
      </c>
      <c r="H14" s="29">
        <v>2009</v>
      </c>
      <c r="I14" s="30">
        <v>25.5</v>
      </c>
    </row>
    <row r="15" spans="2:9" ht="14.4" x14ac:dyDescent="0.3">
      <c r="B15" s="29">
        <v>2000</v>
      </c>
      <c r="C15" s="30">
        <v>27.3</v>
      </c>
      <c r="D15" s="29">
        <v>1994</v>
      </c>
      <c r="E15" s="30">
        <v>45</v>
      </c>
      <c r="F15" s="30">
        <v>1975</v>
      </c>
      <c r="G15" s="30">
        <v>36.5</v>
      </c>
      <c r="H15" s="29">
        <v>2010</v>
      </c>
      <c r="I15" s="30">
        <v>39.5</v>
      </c>
    </row>
    <row r="16" spans="2:9" ht="14.4" x14ac:dyDescent="0.3">
      <c r="B16" s="29">
        <v>2001</v>
      </c>
      <c r="C16" s="30">
        <v>27.3</v>
      </c>
      <c r="D16" s="29">
        <v>1995</v>
      </c>
      <c r="E16" s="30">
        <v>25.5</v>
      </c>
      <c r="F16" s="30">
        <v>1976</v>
      </c>
      <c r="G16" s="30">
        <v>52.1</v>
      </c>
      <c r="H16" s="29">
        <v>2011</v>
      </c>
      <c r="I16" s="30">
        <v>31</v>
      </c>
    </row>
    <row r="17" spans="2:9" ht="14.4" x14ac:dyDescent="0.3">
      <c r="B17" s="29">
        <v>2002</v>
      </c>
      <c r="C17" s="30">
        <v>24</v>
      </c>
      <c r="D17" s="29">
        <v>1996</v>
      </c>
      <c r="E17" s="30">
        <v>26</v>
      </c>
      <c r="F17" s="30">
        <v>1977</v>
      </c>
      <c r="G17" s="30">
        <v>35.700000000000003</v>
      </c>
      <c r="H17" s="29">
        <v>2012</v>
      </c>
      <c r="I17" s="30">
        <v>30.4</v>
      </c>
    </row>
    <row r="18" spans="2:9" ht="14.4" x14ac:dyDescent="0.3">
      <c r="B18" s="29">
        <v>2003</v>
      </c>
      <c r="C18" s="30">
        <v>43.7</v>
      </c>
      <c r="D18" s="29">
        <v>1997</v>
      </c>
      <c r="E18" s="30">
        <v>33.200000000000003</v>
      </c>
      <c r="F18" s="30">
        <v>1978</v>
      </c>
      <c r="G18" s="30">
        <v>35.6</v>
      </c>
      <c r="H18" s="30"/>
      <c r="I18" s="30"/>
    </row>
    <row r="19" spans="2:9" ht="14.4" x14ac:dyDescent="0.3">
      <c r="B19" s="29">
        <v>2004</v>
      </c>
      <c r="C19" s="30">
        <v>28.6</v>
      </c>
      <c r="D19" s="29">
        <v>1998</v>
      </c>
      <c r="E19" s="30">
        <v>22.9</v>
      </c>
      <c r="F19" s="30">
        <v>1979</v>
      </c>
      <c r="G19" s="30">
        <v>45</v>
      </c>
      <c r="H19" s="30"/>
      <c r="I19" s="30"/>
    </row>
    <row r="20" spans="2:9" ht="14.4" x14ac:dyDescent="0.3">
      <c r="B20" s="29">
        <v>2005</v>
      </c>
      <c r="C20" s="30">
        <v>30.6</v>
      </c>
      <c r="D20" s="29">
        <v>1999</v>
      </c>
      <c r="E20" s="30">
        <v>28.1</v>
      </c>
      <c r="F20" s="30">
        <v>1980</v>
      </c>
      <c r="G20" s="30">
        <v>38.1</v>
      </c>
      <c r="H20" s="30"/>
      <c r="I20" s="30"/>
    </row>
    <row r="21" spans="2:9" ht="14.4" x14ac:dyDescent="0.3">
      <c r="B21" s="29">
        <v>2006</v>
      </c>
      <c r="C21" s="30">
        <v>24.6</v>
      </c>
      <c r="D21" s="29">
        <v>2000</v>
      </c>
      <c r="E21" s="30">
        <v>29.2</v>
      </c>
      <c r="F21" s="30">
        <v>1989</v>
      </c>
      <c r="G21" s="30">
        <v>18.899999999999999</v>
      </c>
      <c r="H21" s="30"/>
      <c r="I21" s="30"/>
    </row>
    <row r="22" spans="2:9" ht="14.4" x14ac:dyDescent="0.3">
      <c r="B22" s="29">
        <v>2007</v>
      </c>
      <c r="C22" s="30">
        <v>28.2</v>
      </c>
      <c r="D22" s="29">
        <v>2001</v>
      </c>
      <c r="E22" s="30">
        <v>26.2</v>
      </c>
      <c r="F22" s="29">
        <v>1990</v>
      </c>
      <c r="G22" s="30">
        <v>21.8</v>
      </c>
      <c r="H22" s="30"/>
      <c r="I22" s="30"/>
    </row>
    <row r="23" spans="2:9" ht="14.4" x14ac:dyDescent="0.3">
      <c r="B23" s="29">
        <v>2008</v>
      </c>
      <c r="C23" s="30">
        <v>34.9</v>
      </c>
      <c r="D23" s="29">
        <v>2002</v>
      </c>
      <c r="E23" s="30">
        <v>34.9</v>
      </c>
      <c r="F23" s="29">
        <v>1991</v>
      </c>
      <c r="G23" s="30">
        <v>23.5</v>
      </c>
      <c r="H23" s="30"/>
      <c r="I23" s="30"/>
    </row>
    <row r="24" spans="2:9" ht="14.4" x14ac:dyDescent="0.3">
      <c r="B24" s="29">
        <v>2009</v>
      </c>
      <c r="C24" s="30">
        <v>35.9</v>
      </c>
      <c r="D24" s="29">
        <v>2003</v>
      </c>
      <c r="E24" s="30">
        <v>59.6</v>
      </c>
      <c r="F24" s="29">
        <v>1992</v>
      </c>
      <c r="G24" s="30">
        <v>29.8</v>
      </c>
      <c r="H24" s="30"/>
      <c r="I24" s="30"/>
    </row>
    <row r="25" spans="2:9" ht="14.4" x14ac:dyDescent="0.3">
      <c r="B25" s="29">
        <v>2010</v>
      </c>
      <c r="C25" s="30">
        <v>45.1</v>
      </c>
      <c r="D25" s="29">
        <v>2004</v>
      </c>
      <c r="E25" s="30">
        <v>23.6</v>
      </c>
      <c r="F25" s="29">
        <v>1993</v>
      </c>
      <c r="G25" s="30">
        <v>24.4</v>
      </c>
      <c r="H25" s="30"/>
      <c r="I25" s="30"/>
    </row>
    <row r="26" spans="2:9" ht="14.4" x14ac:dyDescent="0.3">
      <c r="B26" s="29">
        <v>2011</v>
      </c>
      <c r="C26" s="30">
        <v>26.5</v>
      </c>
      <c r="D26" s="29">
        <v>2005</v>
      </c>
      <c r="E26" s="30">
        <v>29.6</v>
      </c>
      <c r="F26" s="29">
        <v>1994</v>
      </c>
      <c r="G26" s="30">
        <v>23.8</v>
      </c>
      <c r="H26" s="30"/>
      <c r="I26" s="30"/>
    </row>
    <row r="27" spans="2:9" ht="14.4" x14ac:dyDescent="0.3">
      <c r="B27" s="29">
        <v>2012</v>
      </c>
      <c r="C27" s="30">
        <v>28.8</v>
      </c>
      <c r="D27" s="29">
        <v>2006</v>
      </c>
      <c r="E27" s="30">
        <v>29.8</v>
      </c>
      <c r="F27" s="29">
        <v>1995</v>
      </c>
      <c r="G27" s="30">
        <v>32</v>
      </c>
      <c r="H27" s="30"/>
      <c r="I27" s="30"/>
    </row>
    <row r="28" spans="2:9" ht="14.4" x14ac:dyDescent="0.3">
      <c r="B28" s="29"/>
      <c r="C28" s="30"/>
      <c r="D28" s="29">
        <v>2007</v>
      </c>
      <c r="E28" s="30">
        <v>27.6</v>
      </c>
      <c r="F28" s="29">
        <v>1996</v>
      </c>
      <c r="G28" s="30">
        <v>22.5</v>
      </c>
      <c r="H28" s="30"/>
      <c r="I28" s="30"/>
    </row>
    <row r="29" spans="2:9" ht="14.4" x14ac:dyDescent="0.3">
      <c r="B29" s="29"/>
      <c r="C29" s="30"/>
      <c r="D29" s="29">
        <v>2008</v>
      </c>
      <c r="E29" s="30">
        <v>27.1</v>
      </c>
      <c r="F29" s="29">
        <v>1997</v>
      </c>
      <c r="G29" s="30">
        <v>22.2</v>
      </c>
      <c r="H29" s="30"/>
      <c r="I29" s="30"/>
    </row>
    <row r="30" spans="2:9" ht="14.4" x14ac:dyDescent="0.3">
      <c r="B30" s="29"/>
      <c r="C30" s="30"/>
      <c r="D30" s="29">
        <v>2009</v>
      </c>
      <c r="E30" s="30">
        <v>30.7</v>
      </c>
      <c r="F30" s="29">
        <v>1998</v>
      </c>
      <c r="G30" s="30">
        <v>32.700000000000003</v>
      </c>
      <c r="H30" s="30"/>
      <c r="I30" s="30"/>
    </row>
    <row r="31" spans="2:9" ht="14.4" x14ac:dyDescent="0.3">
      <c r="B31" s="29"/>
      <c r="C31" s="30"/>
      <c r="D31" s="29">
        <v>2010</v>
      </c>
      <c r="E31" s="30">
        <v>29.6</v>
      </c>
      <c r="F31" s="29">
        <v>1999</v>
      </c>
      <c r="G31" s="30">
        <v>23.8</v>
      </c>
      <c r="H31" s="30"/>
      <c r="I31" s="30"/>
    </row>
    <row r="32" spans="2:9" ht="14.4" x14ac:dyDescent="0.3">
      <c r="B32" s="29"/>
      <c r="C32" s="30"/>
      <c r="D32" s="29">
        <v>2011</v>
      </c>
      <c r="E32" s="30">
        <v>29.2</v>
      </c>
      <c r="F32" s="29">
        <v>2000</v>
      </c>
      <c r="G32" s="30">
        <v>30.5</v>
      </c>
      <c r="H32" s="30"/>
      <c r="I32" s="30"/>
    </row>
    <row r="33" spans="2:9" ht="14.4" x14ac:dyDescent="0.3">
      <c r="B33" s="29"/>
      <c r="C33" s="30"/>
      <c r="D33" s="29">
        <v>2012</v>
      </c>
      <c r="E33" s="30">
        <v>29.7</v>
      </c>
      <c r="F33" s="29">
        <v>2001</v>
      </c>
      <c r="G33" s="30">
        <v>25.8</v>
      </c>
      <c r="H33" s="30"/>
      <c r="I33" s="30"/>
    </row>
    <row r="34" spans="2:9" ht="14.4" x14ac:dyDescent="0.3">
      <c r="B34" s="30"/>
      <c r="C34" s="30"/>
      <c r="D34" s="30"/>
      <c r="E34" s="30"/>
      <c r="F34" s="29">
        <v>2002</v>
      </c>
      <c r="G34" s="30">
        <v>24.8</v>
      </c>
      <c r="H34" s="30"/>
      <c r="I34" s="30"/>
    </row>
    <row r="35" spans="2:9" ht="14.4" x14ac:dyDescent="0.3">
      <c r="B35" s="30"/>
      <c r="C35" s="30"/>
      <c r="D35" s="30"/>
      <c r="E35" s="30"/>
      <c r="F35" s="29">
        <v>2003</v>
      </c>
      <c r="G35" s="30">
        <v>25.7</v>
      </c>
      <c r="H35" s="30"/>
      <c r="I35" s="30"/>
    </row>
    <row r="36" spans="2:9" ht="14.4" x14ac:dyDescent="0.3">
      <c r="B36" s="30"/>
      <c r="C36" s="30"/>
      <c r="D36" s="30"/>
      <c r="E36" s="30"/>
      <c r="F36" s="29">
        <v>2004</v>
      </c>
      <c r="G36" s="30">
        <v>19.899999999999999</v>
      </c>
      <c r="H36" s="30"/>
      <c r="I36" s="30"/>
    </row>
    <row r="37" spans="2:9" ht="14.4" x14ac:dyDescent="0.3">
      <c r="B37" s="30"/>
      <c r="C37" s="30"/>
      <c r="D37" s="30"/>
      <c r="E37" s="30"/>
      <c r="F37" s="29">
        <v>2005</v>
      </c>
      <c r="G37" s="30">
        <v>35.299999999999997</v>
      </c>
      <c r="H37" s="30"/>
      <c r="I37" s="30"/>
    </row>
    <row r="38" spans="2:9" ht="14.4" x14ac:dyDescent="0.3">
      <c r="B38" s="30"/>
      <c r="C38" s="30"/>
      <c r="D38" s="30"/>
      <c r="E38" s="30"/>
      <c r="F38" s="29">
        <v>2006</v>
      </c>
      <c r="G38" s="30">
        <v>43.3</v>
      </c>
      <c r="H38" s="30"/>
      <c r="I38" s="30"/>
    </row>
    <row r="39" spans="2:9" ht="14.4" x14ac:dyDescent="0.3">
      <c r="B39" s="30"/>
      <c r="C39" s="30"/>
      <c r="D39" s="30"/>
      <c r="E39" s="30"/>
      <c r="F39" s="29">
        <v>2007</v>
      </c>
      <c r="G39" s="30">
        <v>29.2</v>
      </c>
      <c r="H39" s="30"/>
      <c r="I39" s="30"/>
    </row>
    <row r="40" spans="2:9" ht="14.4" x14ac:dyDescent="0.3">
      <c r="B40" s="30"/>
      <c r="C40" s="30"/>
      <c r="D40" s="30"/>
      <c r="E40" s="30"/>
      <c r="F40" s="29">
        <v>2008</v>
      </c>
      <c r="G40" s="30">
        <v>23.5</v>
      </c>
      <c r="H40" s="30"/>
      <c r="I40" s="30"/>
    </row>
    <row r="41" spans="2:9" ht="14.4" x14ac:dyDescent="0.3">
      <c r="B41" s="30"/>
      <c r="C41" s="30"/>
      <c r="D41" s="30"/>
      <c r="E41" s="30"/>
      <c r="F41" s="29">
        <v>2009</v>
      </c>
      <c r="G41" s="30">
        <v>22.2</v>
      </c>
      <c r="H41" s="30"/>
      <c r="I41" s="30"/>
    </row>
    <row r="42" spans="2:9" ht="14.4" x14ac:dyDescent="0.3">
      <c r="B42" s="30"/>
      <c r="C42" s="30"/>
      <c r="D42" s="30"/>
      <c r="E42" s="30"/>
      <c r="F42" s="29">
        <v>2010</v>
      </c>
      <c r="G42" s="30">
        <v>36.299999999999997</v>
      </c>
      <c r="H42" s="30"/>
      <c r="I42" s="30"/>
    </row>
    <row r="43" spans="2:9" ht="14.4" x14ac:dyDescent="0.3">
      <c r="B43" s="30"/>
      <c r="C43" s="30"/>
      <c r="D43" s="30"/>
      <c r="E43" s="30"/>
      <c r="F43" s="29">
        <v>2011</v>
      </c>
      <c r="G43" s="30">
        <v>28.1</v>
      </c>
      <c r="H43" s="30"/>
      <c r="I43" s="30"/>
    </row>
    <row r="44" spans="2:9" ht="14.4" x14ac:dyDescent="0.3">
      <c r="B44" s="31"/>
      <c r="C44" s="31"/>
      <c r="D44" s="31"/>
      <c r="E44" s="31"/>
      <c r="F44" s="32">
        <v>2012</v>
      </c>
      <c r="G44" s="31">
        <v>29.3</v>
      </c>
      <c r="H44" s="31"/>
      <c r="I44" s="31"/>
    </row>
    <row r="45" spans="2:9" ht="14.4" x14ac:dyDescent="0.3">
      <c r="B45" s="47" t="s">
        <v>97</v>
      </c>
      <c r="C45" s="47">
        <f>SUM(C4:C44)</f>
        <v>705.5</v>
      </c>
      <c r="D45" s="47"/>
      <c r="E45" s="47">
        <f t="shared" ref="E45:I45" si="0">SUM(E4:E44)</f>
        <v>847.60000000000025</v>
      </c>
      <c r="F45" s="47"/>
      <c r="G45" s="47">
        <f>SUM(G4:G44)</f>
        <v>1319.3</v>
      </c>
      <c r="H45" s="47"/>
      <c r="I45" s="47">
        <f t="shared" si="0"/>
        <v>501.2</v>
      </c>
    </row>
    <row r="46" spans="2:9" ht="14.4" x14ac:dyDescent="0.3">
      <c r="B46" s="47" t="s">
        <v>78</v>
      </c>
      <c r="C46" s="34">
        <f>MAX(C4:C27)</f>
        <v>45.1</v>
      </c>
      <c r="D46" s="34"/>
      <c r="E46" s="34">
        <f>MAX(E4:E33)</f>
        <v>59.6</v>
      </c>
      <c r="F46" s="34"/>
      <c r="G46" s="34">
        <f>MAX(G4:G44)</f>
        <v>58</v>
      </c>
      <c r="H46" s="34"/>
      <c r="I46" s="34">
        <f>MAX(I4:I17)</f>
        <v>56.4</v>
      </c>
    </row>
    <row r="47" spans="2:9" ht="14.4" x14ac:dyDescent="0.3">
      <c r="B47" s="47" t="s">
        <v>79</v>
      </c>
      <c r="C47" s="33">
        <f>AVERAGE(C4:C27)</f>
        <v>29.395833333333332</v>
      </c>
      <c r="D47" s="33"/>
      <c r="E47" s="33">
        <f>AVERAGE(E4:E33)</f>
        <v>28.253333333333341</v>
      </c>
      <c r="F47" s="33"/>
      <c r="G47" s="33">
        <f>AVERAGE(G4:G46)</f>
        <v>62.711627906976744</v>
      </c>
      <c r="H47" s="33"/>
      <c r="I47" s="33">
        <f>AVERAGE(I4:I17)</f>
        <v>35.799999999999997</v>
      </c>
    </row>
    <row r="48" spans="2:9" ht="14.4" x14ac:dyDescent="0.3">
      <c r="B48" s="47" t="s">
        <v>80</v>
      </c>
      <c r="C48" s="34">
        <f>MIN(C4:C27)</f>
        <v>20</v>
      </c>
      <c r="D48" s="34"/>
      <c r="E48" s="34">
        <f t="shared" ref="E48:I48" si="1">MIN(E4:E27)</f>
        <v>11.7</v>
      </c>
      <c r="F48" s="34"/>
      <c r="G48" s="34">
        <f t="shared" si="1"/>
        <v>18.899999999999999</v>
      </c>
      <c r="H48" s="34"/>
      <c r="I48" s="34">
        <f t="shared" si="1"/>
        <v>25.5</v>
      </c>
    </row>
    <row r="49" spans="2:9" ht="14.4" x14ac:dyDescent="0.3">
      <c r="B49" s="47" t="s">
        <v>81</v>
      </c>
      <c r="C49" s="34">
        <f>STDEV(C4:C27)</f>
        <v>6.9944996506053858</v>
      </c>
      <c r="D49" s="34"/>
      <c r="E49" s="34">
        <f t="shared" ref="E49:I49" si="2">STDEV(E4:E27)</f>
        <v>9.5371347062834886</v>
      </c>
      <c r="F49" s="34"/>
      <c r="G49" s="34">
        <f t="shared" si="2"/>
        <v>10.44227403186308</v>
      </c>
      <c r="H49" s="34"/>
      <c r="I49" s="34">
        <f t="shared" si="2"/>
        <v>9.3217693929524383</v>
      </c>
    </row>
    <row r="50" spans="2:9" ht="14.4" x14ac:dyDescent="0.3">
      <c r="B50" s="35"/>
      <c r="C50" s="35"/>
      <c r="D50" s="35"/>
      <c r="E50" s="35"/>
      <c r="F50" s="35"/>
      <c r="G50" s="35"/>
      <c r="H50" s="35"/>
      <c r="I50" s="35"/>
    </row>
    <row r="51" spans="2:9" ht="14.4" x14ac:dyDescent="0.3">
      <c r="B51" s="35"/>
      <c r="C51" s="35"/>
      <c r="D51" s="35"/>
      <c r="E51" s="35"/>
      <c r="F51" s="35"/>
      <c r="G51" s="35"/>
      <c r="H51" s="35"/>
      <c r="I51" s="35"/>
    </row>
    <row r="52" spans="2:9" ht="14.4" x14ac:dyDescent="0.3">
      <c r="B52" s="35"/>
      <c r="C52" s="35"/>
      <c r="D52" s="35"/>
      <c r="E52" s="35"/>
      <c r="F52" s="35"/>
      <c r="G52" s="35"/>
      <c r="H52" s="35"/>
      <c r="I52" s="35"/>
    </row>
    <row r="53" spans="2:9" ht="14.4" x14ac:dyDescent="0.3">
      <c r="B53" s="35"/>
      <c r="C53" s="36" t="s">
        <v>82</v>
      </c>
      <c r="D53" s="36" t="s">
        <v>83</v>
      </c>
      <c r="E53" s="36" t="s">
        <v>84</v>
      </c>
      <c r="F53" s="35"/>
      <c r="G53" s="35"/>
      <c r="H53" s="35"/>
      <c r="I53" s="35"/>
    </row>
    <row r="54" spans="2:9" ht="14.4" x14ac:dyDescent="0.3">
      <c r="B54" s="35"/>
      <c r="C54" s="37" t="s">
        <v>72</v>
      </c>
      <c r="D54" s="37">
        <v>2619</v>
      </c>
      <c r="E54" s="37" t="s">
        <v>85</v>
      </c>
      <c r="F54" s="35"/>
      <c r="G54" s="35"/>
      <c r="H54" s="35"/>
      <c r="I54" s="35"/>
    </row>
    <row r="55" spans="2:9" ht="14.4" x14ac:dyDescent="0.3">
      <c r="B55" s="35"/>
      <c r="C55" s="37" t="s">
        <v>73</v>
      </c>
      <c r="D55" s="37">
        <v>2763</v>
      </c>
      <c r="E55" s="37">
        <v>28.25</v>
      </c>
      <c r="F55" s="35"/>
      <c r="G55" s="35"/>
      <c r="H55" s="35"/>
      <c r="I55" s="35"/>
    </row>
    <row r="56" spans="2:9" ht="14.4" x14ac:dyDescent="0.3">
      <c r="B56" s="35"/>
      <c r="C56" s="37" t="s">
        <v>74</v>
      </c>
      <c r="D56" s="37">
        <v>2865</v>
      </c>
      <c r="E56" s="37">
        <v>32.79</v>
      </c>
      <c r="F56" s="35"/>
      <c r="G56" s="35"/>
      <c r="H56" s="35"/>
      <c r="I56" s="35"/>
    </row>
    <row r="57" spans="2:9" ht="14.4" x14ac:dyDescent="0.3">
      <c r="B57" s="35"/>
      <c r="C57" s="37" t="s">
        <v>75</v>
      </c>
      <c r="D57" s="37">
        <v>2967</v>
      </c>
      <c r="E57" s="37">
        <v>35.799999999999997</v>
      </c>
      <c r="F57" s="35"/>
      <c r="G57" s="35"/>
      <c r="H57" s="35"/>
      <c r="I57" s="35"/>
    </row>
    <row r="58" spans="2:9" ht="14.4" x14ac:dyDescent="0.3">
      <c r="B58" s="35"/>
      <c r="C58" s="38"/>
      <c r="D58" s="39"/>
      <c r="E58" s="39"/>
      <c r="F58" s="35"/>
      <c r="G58" s="35"/>
      <c r="H58" s="35"/>
      <c r="I58" s="35"/>
    </row>
    <row r="59" spans="2:9" ht="14.4" x14ac:dyDescent="0.3">
      <c r="B59" s="35"/>
      <c r="C59" s="146" t="s">
        <v>86</v>
      </c>
      <c r="D59" s="146"/>
      <c r="E59" s="40" t="s">
        <v>87</v>
      </c>
      <c r="F59" s="35"/>
      <c r="G59" s="35"/>
      <c r="H59" s="35"/>
      <c r="I59" s="35"/>
    </row>
    <row r="60" spans="2:9" ht="14.4" x14ac:dyDescent="0.3">
      <c r="B60" s="35"/>
      <c r="C60" s="143" t="s">
        <v>88</v>
      </c>
      <c r="D60" s="143"/>
      <c r="E60" s="41">
        <v>0.1739</v>
      </c>
      <c r="F60" s="35"/>
      <c r="G60" s="35"/>
      <c r="H60" s="35"/>
      <c r="I60" s="35"/>
    </row>
    <row r="61" spans="2:9" ht="14.4" x14ac:dyDescent="0.3">
      <c r="B61" s="35"/>
      <c r="C61" s="143" t="s">
        <v>89</v>
      </c>
      <c r="D61" s="143"/>
      <c r="E61" s="41">
        <v>0.10539999999999999</v>
      </c>
      <c r="F61" s="35"/>
      <c r="G61" s="35"/>
      <c r="H61" s="35"/>
      <c r="I61" s="35"/>
    </row>
    <row r="62" spans="2:9" ht="14.4" x14ac:dyDescent="0.3">
      <c r="B62" s="35"/>
      <c r="C62" s="143" t="s">
        <v>90</v>
      </c>
      <c r="D62" s="143"/>
      <c r="E62" s="41">
        <v>0.10290000000000001</v>
      </c>
      <c r="F62" s="35"/>
      <c r="G62" s="35"/>
      <c r="H62" s="35"/>
      <c r="I62" s="35"/>
    </row>
    <row r="63" spans="2:9" ht="15.6" x14ac:dyDescent="0.3">
      <c r="B63" s="35"/>
      <c r="C63" s="144" t="s">
        <v>91</v>
      </c>
      <c r="D63" s="144"/>
      <c r="E63" s="41">
        <v>0.14660000000000001</v>
      </c>
      <c r="F63" s="35"/>
      <c r="G63" s="35"/>
      <c r="H63" s="35"/>
      <c r="I63" s="35"/>
    </row>
    <row r="64" spans="2:9" ht="15.6" x14ac:dyDescent="0.3">
      <c r="B64" s="35"/>
      <c r="C64" s="144" t="s">
        <v>92</v>
      </c>
      <c r="D64" s="144"/>
      <c r="E64" s="41">
        <v>9.6299999999999997E-2</v>
      </c>
      <c r="F64" s="35"/>
      <c r="G64" s="35"/>
      <c r="H64" s="35"/>
      <c r="I64" s="35"/>
    </row>
    <row r="65" spans="2:9" ht="14.4" x14ac:dyDescent="0.3">
      <c r="B65" s="35"/>
      <c r="C65" s="35"/>
      <c r="D65" s="35"/>
      <c r="E65" s="35"/>
      <c r="F65" s="35"/>
      <c r="G65" s="35"/>
      <c r="H65" s="35"/>
      <c r="I65" s="35"/>
    </row>
    <row r="66" spans="2:9" ht="14.4" x14ac:dyDescent="0.3">
      <c r="B66" s="35"/>
      <c r="C66" s="30" t="s">
        <v>93</v>
      </c>
      <c r="D66" s="30">
        <v>24</v>
      </c>
      <c r="E66" s="35"/>
      <c r="F66" s="35"/>
      <c r="G66" s="35"/>
      <c r="H66" s="35"/>
      <c r="I66" s="35"/>
    </row>
    <row r="67" spans="2:9" ht="14.4" x14ac:dyDescent="0.3">
      <c r="B67" s="35"/>
      <c r="C67" s="42" t="s">
        <v>94</v>
      </c>
      <c r="D67" s="30">
        <v>0.05</v>
      </c>
      <c r="E67" s="35"/>
      <c r="F67" s="35"/>
      <c r="G67" s="35"/>
      <c r="H67" s="35"/>
      <c r="I67" s="35"/>
    </row>
    <row r="68" spans="2:9" ht="14.4" x14ac:dyDescent="0.3">
      <c r="B68" s="35"/>
      <c r="C68" s="30" t="s">
        <v>95</v>
      </c>
      <c r="D68" s="30">
        <v>0.27760000000000001</v>
      </c>
      <c r="E68" s="35"/>
      <c r="F68" s="35"/>
      <c r="G68" s="35"/>
      <c r="H68" s="35"/>
      <c r="I68" s="35"/>
    </row>
  </sheetData>
  <mergeCells count="10">
    <mergeCell ref="F2:G2"/>
    <mergeCell ref="H2:I2"/>
    <mergeCell ref="C59:D59"/>
    <mergeCell ref="C60:D60"/>
    <mergeCell ref="C61:D61"/>
    <mergeCell ref="C62:D62"/>
    <mergeCell ref="C63:D63"/>
    <mergeCell ref="C64:D64"/>
    <mergeCell ref="B2:C2"/>
    <mergeCell ref="D2:E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O113"/>
  <sheetViews>
    <sheetView topLeftCell="A64" zoomScale="118" zoomScaleNormal="118" workbookViewId="0">
      <selection activeCell="B16" sqref="B16:R20"/>
    </sheetView>
  </sheetViews>
  <sheetFormatPr baseColWidth="10" defaultRowHeight="13.2" x14ac:dyDescent="0.25"/>
  <cols>
    <col min="2" max="2" width="6.5546875" customWidth="1"/>
    <col min="3" max="3" width="30.88671875" customWidth="1"/>
    <col min="4" max="4" width="14.109375" customWidth="1"/>
    <col min="5" max="5" width="15.5546875" customWidth="1"/>
    <col min="6" max="6" width="10.44140625" customWidth="1"/>
    <col min="7" max="7" width="12.6640625" customWidth="1"/>
    <col min="8" max="8" width="11" customWidth="1"/>
    <col min="9" max="9" width="11.6640625" customWidth="1"/>
    <col min="10" max="10" width="10.33203125" customWidth="1"/>
    <col min="11" max="11" width="9" customWidth="1"/>
    <col min="12" max="12" width="10.109375" customWidth="1"/>
    <col min="13" max="13" width="9.88671875" customWidth="1"/>
    <col min="14" max="15" width="11.5546875" bestFit="1" customWidth="1"/>
    <col min="16" max="16" width="14.5546875" bestFit="1" customWidth="1"/>
    <col min="17" max="17" width="12.44140625" bestFit="1" customWidth="1"/>
    <col min="18" max="18" width="12.6640625" customWidth="1"/>
    <col min="21" max="21" width="18.44140625" customWidth="1"/>
    <col min="29" max="29" width="13.33203125" customWidth="1"/>
  </cols>
  <sheetData>
    <row r="1" spans="1:27" x14ac:dyDescent="0.25">
      <c r="A1" s="49"/>
      <c r="B1" s="49"/>
      <c r="C1" s="49"/>
      <c r="D1" s="49"/>
      <c r="E1" s="49"/>
      <c r="F1" s="49"/>
      <c r="G1" s="49"/>
      <c r="H1" s="49"/>
      <c r="I1" s="49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  <c r="U1" s="49"/>
      <c r="V1" s="49"/>
      <c r="W1" s="49"/>
      <c r="X1" s="49"/>
      <c r="Y1" s="49"/>
      <c r="Z1" s="49"/>
      <c r="AA1" s="49"/>
    </row>
    <row r="2" spans="1:27" ht="15" customHeight="1" x14ac:dyDescent="0.25">
      <c r="A2" s="49"/>
      <c r="B2" s="160" t="s">
        <v>149</v>
      </c>
      <c r="C2" s="160" t="s">
        <v>150</v>
      </c>
      <c r="D2" s="160" t="s">
        <v>162</v>
      </c>
      <c r="E2" s="154" t="s">
        <v>151</v>
      </c>
      <c r="F2" s="151" t="s">
        <v>163</v>
      </c>
      <c r="G2" s="153"/>
      <c r="H2" s="154" t="s">
        <v>154</v>
      </c>
      <c r="I2" s="154" t="s">
        <v>155</v>
      </c>
      <c r="J2" s="151" t="s">
        <v>156</v>
      </c>
      <c r="K2" s="152"/>
      <c r="L2" s="152"/>
      <c r="M2" s="153"/>
      <c r="N2" s="49"/>
      <c r="O2" s="49"/>
      <c r="P2" s="49"/>
      <c r="Q2" s="49"/>
      <c r="R2" s="49"/>
      <c r="S2" s="49"/>
      <c r="T2" s="49"/>
      <c r="U2" s="49"/>
      <c r="V2" s="49"/>
      <c r="W2" s="49"/>
      <c r="X2" s="49"/>
      <c r="Y2" s="49"/>
      <c r="Z2" s="49"/>
      <c r="AA2" s="49"/>
    </row>
    <row r="3" spans="1:27" ht="25.5" customHeight="1" x14ac:dyDescent="0.25">
      <c r="A3" s="49"/>
      <c r="B3" s="161"/>
      <c r="C3" s="161"/>
      <c r="D3" s="161"/>
      <c r="E3" s="155"/>
      <c r="F3" s="97" t="s">
        <v>152</v>
      </c>
      <c r="G3" s="97" t="s">
        <v>153</v>
      </c>
      <c r="H3" s="155"/>
      <c r="I3" s="155"/>
      <c r="J3" s="97" t="s">
        <v>157</v>
      </c>
      <c r="K3" s="97" t="s">
        <v>158</v>
      </c>
      <c r="L3" s="97" t="s">
        <v>160</v>
      </c>
      <c r="M3" s="97" t="s">
        <v>159</v>
      </c>
      <c r="N3" s="49"/>
      <c r="O3" s="49"/>
      <c r="P3" s="49"/>
      <c r="Q3" s="49"/>
      <c r="R3" s="49"/>
      <c r="S3" s="49"/>
      <c r="T3" s="49"/>
      <c r="U3" s="49"/>
      <c r="V3" s="49"/>
      <c r="W3" s="49"/>
      <c r="X3" s="49"/>
      <c r="Y3" s="49"/>
      <c r="Z3" s="49"/>
      <c r="AA3" s="49"/>
    </row>
    <row r="4" spans="1:27" x14ac:dyDescent="0.25">
      <c r="A4" s="49"/>
      <c r="B4" s="96">
        <v>1</v>
      </c>
      <c r="C4" s="61" t="s">
        <v>115</v>
      </c>
      <c r="D4" s="93">
        <v>2.75</v>
      </c>
      <c r="E4" s="93">
        <v>2260</v>
      </c>
      <c r="F4" s="93">
        <v>4315</v>
      </c>
      <c r="G4" s="93">
        <v>4161</v>
      </c>
      <c r="H4" s="93">
        <f>F4-G4</f>
        <v>154</v>
      </c>
      <c r="I4" s="94">
        <v>6.8000000000000005E-2</v>
      </c>
      <c r="J4" s="93">
        <f>0.000325*(E4^0.77/I4^0.385)</f>
        <v>0.34997008881677361</v>
      </c>
      <c r="K4" s="93">
        <f>0.3*(2.26^0.76/I4^0.19)</f>
        <v>0.92910965909279608</v>
      </c>
      <c r="L4" s="93">
        <f>0.2433*(2.26/(D4^0.1*I4^0.2))</f>
        <v>0.85077652108644908</v>
      </c>
      <c r="M4" s="93">
        <f>AVERAGE(J4:L4)</f>
        <v>0.70995208966533951</v>
      </c>
      <c r="N4" s="49"/>
      <c r="O4" s="49"/>
      <c r="P4" s="49"/>
      <c r="Q4" s="49"/>
      <c r="R4" s="49"/>
      <c r="S4" s="49"/>
      <c r="T4" s="49"/>
      <c r="U4" s="49"/>
      <c r="V4" s="49"/>
      <c r="W4" s="49"/>
      <c r="X4" s="49"/>
      <c r="Y4" s="49"/>
      <c r="Z4" s="49"/>
      <c r="AA4" s="49"/>
    </row>
    <row r="5" spans="1:27" x14ac:dyDescent="0.25">
      <c r="A5" s="49"/>
      <c r="B5" s="96">
        <v>2</v>
      </c>
      <c r="C5" s="61" t="s">
        <v>113</v>
      </c>
      <c r="D5" s="93">
        <v>4.46</v>
      </c>
      <c r="E5" s="93">
        <v>4020</v>
      </c>
      <c r="F5" s="93">
        <v>4281</v>
      </c>
      <c r="G5" s="93">
        <v>4133</v>
      </c>
      <c r="H5" s="93">
        <f t="shared" ref="H5:H6" si="0">F5-G5</f>
        <v>148</v>
      </c>
      <c r="I5" s="94">
        <v>4.4999999999999998E-2</v>
      </c>
      <c r="J5" s="93">
        <f>0.000325*(E5^0.77/I5^0.385)</f>
        <v>0.63922036688825556</v>
      </c>
      <c r="K5" s="93">
        <f>0.3*(4.02^0.76/I5^0.19)</f>
        <v>1.5567636322912051</v>
      </c>
      <c r="L5" s="93">
        <f>0.2433*(4.02/(D5^0.1*I5^0.2))</f>
        <v>1.5660014988331359</v>
      </c>
      <c r="M5" s="93">
        <f t="shared" ref="M5:M6" si="1">AVERAGE(J5:L5)</f>
        <v>1.2539951660041988</v>
      </c>
      <c r="N5" s="49"/>
      <c r="O5" s="49"/>
      <c r="P5" s="49"/>
      <c r="Q5" s="49"/>
      <c r="R5" s="49"/>
      <c r="S5" s="49"/>
      <c r="T5" s="49"/>
      <c r="U5" s="49"/>
      <c r="V5" s="49"/>
      <c r="W5" s="49"/>
      <c r="X5" s="49"/>
      <c r="Y5" s="49"/>
      <c r="Z5" s="49"/>
      <c r="AA5" s="49"/>
    </row>
    <row r="6" spans="1:27" x14ac:dyDescent="0.25">
      <c r="A6" s="49"/>
      <c r="B6" s="96">
        <v>3</v>
      </c>
      <c r="C6" s="61" t="s">
        <v>161</v>
      </c>
      <c r="D6" s="93">
        <v>4.6100000000000003</v>
      </c>
      <c r="E6" s="93">
        <v>3040</v>
      </c>
      <c r="F6" s="93">
        <v>4272</v>
      </c>
      <c r="G6" s="93">
        <v>4110</v>
      </c>
      <c r="H6" s="93">
        <f t="shared" si="0"/>
        <v>162</v>
      </c>
      <c r="I6" s="94">
        <v>5.5E-2</v>
      </c>
      <c r="J6" s="93">
        <f>0.000325*(E6^0.77/I6^0.385)</f>
        <v>0.47715160049078481</v>
      </c>
      <c r="K6" s="93">
        <f>0.3*(3.04^0.76/I6^0.19)</f>
        <v>1.2118148418240935</v>
      </c>
      <c r="L6" s="93">
        <f>0.2433*(4.61/(D6^0.1*I6^0.2))</f>
        <v>1.7194929672160346</v>
      </c>
      <c r="M6" s="93">
        <f t="shared" si="1"/>
        <v>1.1361531365103044</v>
      </c>
      <c r="N6" s="49"/>
      <c r="O6" s="49"/>
      <c r="P6" s="49"/>
      <c r="Q6" s="49"/>
      <c r="R6" s="49"/>
      <c r="S6" s="49"/>
      <c r="T6" s="49"/>
      <c r="U6" s="49"/>
      <c r="V6" s="49"/>
      <c r="W6" s="49"/>
      <c r="X6" s="49"/>
      <c r="Y6" s="49"/>
      <c r="Z6" s="49"/>
      <c r="AA6" s="49"/>
    </row>
    <row r="7" spans="1:27" x14ac:dyDescent="0.25">
      <c r="A7" s="49"/>
      <c r="B7" s="49"/>
      <c r="C7" s="49"/>
      <c r="D7" s="49"/>
      <c r="E7" s="49"/>
      <c r="F7" s="49"/>
      <c r="G7" s="49"/>
      <c r="H7" s="49"/>
      <c r="I7" s="49"/>
      <c r="J7" s="49"/>
      <c r="K7" s="49"/>
      <c r="L7" s="49"/>
      <c r="M7" s="49"/>
      <c r="N7" s="49"/>
      <c r="O7" s="49"/>
      <c r="P7" s="49"/>
      <c r="Q7" s="49"/>
      <c r="R7" s="49"/>
      <c r="S7" s="49" t="s">
        <v>189</v>
      </c>
      <c r="T7" s="49">
        <f>1000*1000</f>
        <v>1000000</v>
      </c>
      <c r="U7" s="49" t="s">
        <v>188</v>
      </c>
      <c r="V7" s="49"/>
      <c r="W7" s="49"/>
      <c r="X7" s="49"/>
      <c r="Y7" s="49"/>
      <c r="Z7" s="49"/>
      <c r="AA7" s="49"/>
    </row>
    <row r="8" spans="1:27" x14ac:dyDescent="0.25">
      <c r="A8" s="49"/>
      <c r="B8" s="49"/>
      <c r="C8" s="49"/>
      <c r="D8" s="49"/>
      <c r="E8" s="49"/>
      <c r="F8" s="49"/>
      <c r="G8" s="49"/>
      <c r="H8" s="49"/>
      <c r="I8" s="49"/>
      <c r="J8" s="49"/>
      <c r="K8" s="49"/>
      <c r="L8" s="49"/>
      <c r="M8" s="49"/>
      <c r="N8" s="49"/>
      <c r="O8" s="49"/>
      <c r="P8" s="49"/>
      <c r="Q8" s="49"/>
      <c r="R8" s="49"/>
      <c r="S8" s="49" t="s">
        <v>190</v>
      </c>
      <c r="T8" s="49">
        <v>10000</v>
      </c>
      <c r="U8" s="49" t="s">
        <v>188</v>
      </c>
      <c r="V8" s="49"/>
      <c r="W8" s="49"/>
      <c r="X8" s="49"/>
      <c r="Y8" s="49"/>
      <c r="Z8" s="49"/>
      <c r="AA8" s="49"/>
    </row>
    <row r="9" spans="1:27" x14ac:dyDescent="0.25">
      <c r="A9" s="49"/>
      <c r="B9" s="49"/>
      <c r="C9" s="49"/>
      <c r="D9" s="49"/>
      <c r="E9" s="49"/>
      <c r="F9" s="49"/>
      <c r="G9" s="49"/>
      <c r="H9" s="49"/>
      <c r="I9" s="49"/>
      <c r="J9" s="49"/>
      <c r="K9" s="49"/>
      <c r="L9" s="49"/>
      <c r="M9" s="49"/>
      <c r="N9" s="49"/>
      <c r="O9" s="49"/>
      <c r="P9" s="49"/>
      <c r="Q9" s="49"/>
      <c r="R9" s="49"/>
      <c r="S9" s="49"/>
      <c r="T9" s="49"/>
      <c r="U9" s="49"/>
      <c r="V9" s="49"/>
      <c r="W9" s="49"/>
      <c r="X9" s="49"/>
      <c r="Y9" s="49"/>
      <c r="Z9" s="49"/>
      <c r="AA9" s="49"/>
    </row>
    <row r="10" spans="1:27" x14ac:dyDescent="0.25">
      <c r="A10" s="49"/>
      <c r="B10" s="49"/>
      <c r="C10" s="49"/>
      <c r="D10" s="49"/>
      <c r="E10" s="49"/>
      <c r="F10" s="49"/>
      <c r="G10" s="49"/>
      <c r="H10" s="49"/>
      <c r="I10" s="49"/>
      <c r="J10" s="49"/>
      <c r="K10" s="49"/>
      <c r="L10" s="49"/>
      <c r="M10" s="49"/>
      <c r="N10" s="49"/>
      <c r="O10" s="49"/>
      <c r="P10" s="49"/>
      <c r="Q10" s="49"/>
      <c r="R10" s="49"/>
      <c r="S10" s="49">
        <f>T7*2.75</f>
        <v>2750000</v>
      </c>
      <c r="T10" s="49"/>
      <c r="U10" s="49"/>
      <c r="V10" s="49"/>
      <c r="W10" s="49"/>
      <c r="X10" s="49"/>
      <c r="Y10" s="49"/>
      <c r="Z10" s="49"/>
      <c r="AA10" s="49"/>
    </row>
    <row r="11" spans="1:27" ht="26.4" x14ac:dyDescent="0.25">
      <c r="A11" s="49"/>
      <c r="B11" s="18" t="s">
        <v>46</v>
      </c>
      <c r="C11" s="18" t="s">
        <v>47</v>
      </c>
      <c r="D11" s="18" t="s">
        <v>48</v>
      </c>
      <c r="E11" s="18" t="s">
        <v>49</v>
      </c>
      <c r="F11" s="18" t="s">
        <v>50</v>
      </c>
      <c r="G11" s="19" t="s">
        <v>51</v>
      </c>
      <c r="H11" s="18" t="s">
        <v>52</v>
      </c>
      <c r="I11" s="18" t="s">
        <v>53</v>
      </c>
      <c r="J11" s="19" t="s">
        <v>54</v>
      </c>
      <c r="K11" s="49"/>
      <c r="L11" s="49"/>
      <c r="M11" s="49"/>
      <c r="N11" s="49"/>
      <c r="O11" s="49"/>
      <c r="P11" s="49"/>
      <c r="Q11" s="49"/>
      <c r="R11" s="49"/>
      <c r="S11" s="49">
        <f>S10/10000</f>
        <v>275</v>
      </c>
      <c r="T11" s="49"/>
      <c r="U11" s="49"/>
      <c r="V11" s="49"/>
      <c r="W11" s="49"/>
      <c r="X11" s="49"/>
      <c r="Y11" s="49"/>
      <c r="Z11" s="49"/>
      <c r="AA11" s="49"/>
    </row>
    <row r="12" spans="1:27" ht="13.8" x14ac:dyDescent="0.25">
      <c r="A12" s="49"/>
      <c r="B12" s="20">
        <v>1</v>
      </c>
      <c r="C12" s="21" t="s">
        <v>71</v>
      </c>
      <c r="D12" s="22">
        <v>4.46</v>
      </c>
      <c r="E12" s="22">
        <v>9.33</v>
      </c>
      <c r="F12" s="22">
        <v>3.28</v>
      </c>
      <c r="G12" s="95">
        <v>4.4999999999999998E-2</v>
      </c>
      <c r="H12" s="23">
        <f>0.06628*(F12^0.77/G12^0.385)</f>
        <v>0.54590684719139493</v>
      </c>
      <c r="I12" s="23">
        <f>0.2433*(F12/(D12^0.1*G12^0.2))</f>
        <v>1.2777325662121108</v>
      </c>
      <c r="J12" s="23">
        <f>0.3*(F12^0.76/G12^0.19)</f>
        <v>1.3337517378926975</v>
      </c>
      <c r="K12" s="54"/>
      <c r="L12" s="49"/>
      <c r="M12" s="49"/>
      <c r="N12" s="49"/>
      <c r="O12" s="49"/>
      <c r="P12" s="49"/>
      <c r="Q12" s="49"/>
      <c r="R12" s="49"/>
      <c r="S12" s="49"/>
      <c r="T12" s="49"/>
      <c r="U12" s="49"/>
      <c r="V12" s="49"/>
      <c r="W12" s="49"/>
      <c r="X12" s="49"/>
      <c r="Y12" s="49"/>
      <c r="Z12" s="49"/>
      <c r="AA12" s="49"/>
    </row>
    <row r="13" spans="1:27" x14ac:dyDescent="0.25">
      <c r="A13" s="49"/>
      <c r="B13" s="49"/>
      <c r="C13" s="49"/>
      <c r="D13" s="49"/>
      <c r="E13" s="49"/>
      <c r="F13" s="49"/>
      <c r="G13" s="49"/>
      <c r="H13" s="49"/>
      <c r="I13" s="49"/>
      <c r="J13" s="49"/>
      <c r="K13" s="49"/>
      <c r="L13" s="49"/>
      <c r="M13" s="49"/>
      <c r="N13" s="49"/>
      <c r="O13" s="49"/>
      <c r="P13" s="49"/>
      <c r="Q13" s="49"/>
      <c r="R13" s="49"/>
      <c r="S13" s="49"/>
      <c r="T13" s="49"/>
      <c r="U13" s="49"/>
      <c r="V13" s="49"/>
      <c r="W13" s="49"/>
      <c r="X13" s="49"/>
      <c r="Y13" s="49"/>
      <c r="Z13" s="49"/>
      <c r="AA13" s="49"/>
    </row>
    <row r="14" spans="1:27" ht="24.6" x14ac:dyDescent="0.25">
      <c r="A14" s="49"/>
      <c r="B14" s="159" t="s">
        <v>208</v>
      </c>
      <c r="C14" s="159"/>
      <c r="D14" s="159"/>
      <c r="E14" s="159"/>
      <c r="F14" s="159"/>
      <c r="G14" s="159"/>
      <c r="H14" s="159"/>
      <c r="I14" s="159"/>
      <c r="J14" s="159"/>
      <c r="K14" s="159"/>
      <c r="L14" s="159"/>
      <c r="M14" s="159"/>
      <c r="N14" s="159"/>
      <c r="O14" s="159"/>
      <c r="P14" s="159"/>
      <c r="Q14" s="159"/>
      <c r="R14" s="159"/>
      <c r="S14" s="49"/>
      <c r="T14" s="49"/>
      <c r="U14" s="49"/>
      <c r="V14" s="49"/>
      <c r="W14" s="49"/>
      <c r="X14" s="49"/>
      <c r="Y14" s="49"/>
      <c r="Z14" s="49"/>
      <c r="AA14" s="49"/>
    </row>
    <row r="15" spans="1:27" x14ac:dyDescent="0.25">
      <c r="A15" s="49"/>
      <c r="B15" s="49"/>
      <c r="C15" s="49"/>
      <c r="D15" s="49"/>
      <c r="E15" s="49"/>
      <c r="F15" s="49"/>
      <c r="G15" s="49"/>
      <c r="H15" s="49"/>
      <c r="I15" s="49"/>
      <c r="J15" s="49"/>
      <c r="K15" s="49"/>
      <c r="L15" s="49"/>
      <c r="M15" s="49"/>
      <c r="N15" s="49"/>
      <c r="O15" s="49"/>
      <c r="P15" s="49"/>
      <c r="Q15" s="49"/>
      <c r="R15" s="49"/>
      <c r="S15" s="49"/>
      <c r="T15" s="49"/>
      <c r="U15" s="49"/>
      <c r="V15" s="49"/>
      <c r="W15" s="49"/>
      <c r="X15" s="49"/>
      <c r="Y15" s="49"/>
      <c r="Z15" s="49"/>
      <c r="AA15" s="49"/>
    </row>
    <row r="16" spans="1:27" ht="51" customHeight="1" x14ac:dyDescent="0.25">
      <c r="A16" s="49"/>
      <c r="B16" s="147" t="s">
        <v>164</v>
      </c>
      <c r="C16" s="147" t="s">
        <v>150</v>
      </c>
      <c r="D16" s="147" t="s">
        <v>177</v>
      </c>
      <c r="E16" s="149" t="s">
        <v>165</v>
      </c>
      <c r="F16" s="149" t="s">
        <v>166</v>
      </c>
      <c r="G16" s="149" t="s">
        <v>167</v>
      </c>
      <c r="H16" s="149" t="s">
        <v>168</v>
      </c>
      <c r="I16" s="149" t="s">
        <v>186</v>
      </c>
      <c r="J16" s="149" t="s">
        <v>169</v>
      </c>
      <c r="K16" s="156" t="s">
        <v>178</v>
      </c>
      <c r="L16" s="157"/>
      <c r="M16" s="157"/>
      <c r="N16" s="157"/>
      <c r="O16" s="157"/>
      <c r="P16" s="157"/>
      <c r="Q16" s="157"/>
      <c r="R16" s="158"/>
      <c r="S16" s="49"/>
      <c r="T16" s="49"/>
      <c r="U16" s="49"/>
      <c r="V16" s="49"/>
      <c r="W16" s="49"/>
      <c r="X16" s="49"/>
      <c r="Y16" s="49"/>
      <c r="Z16" s="49"/>
      <c r="AA16" s="49"/>
    </row>
    <row r="17" spans="1:41" x14ac:dyDescent="0.25">
      <c r="A17" s="49"/>
      <c r="B17" s="148"/>
      <c r="C17" s="148"/>
      <c r="D17" s="148"/>
      <c r="E17" s="150"/>
      <c r="F17" s="150"/>
      <c r="G17" s="150"/>
      <c r="H17" s="150"/>
      <c r="I17" s="150"/>
      <c r="J17" s="150"/>
      <c r="K17" s="99" t="s">
        <v>196</v>
      </c>
      <c r="L17" s="99" t="s">
        <v>197</v>
      </c>
      <c r="M17" s="99" t="s">
        <v>198</v>
      </c>
      <c r="N17" s="99" t="s">
        <v>199</v>
      </c>
      <c r="O17" s="99" t="s">
        <v>200</v>
      </c>
      <c r="P17" s="99" t="s">
        <v>201</v>
      </c>
      <c r="Q17" s="99" t="s">
        <v>202</v>
      </c>
      <c r="R17" s="99" t="s">
        <v>203</v>
      </c>
      <c r="S17" s="49"/>
      <c r="T17" s="49"/>
      <c r="U17" s="49"/>
      <c r="V17" s="49"/>
      <c r="W17" s="49"/>
      <c r="X17" s="49"/>
      <c r="Y17" s="49"/>
      <c r="Z17" s="49"/>
      <c r="AA17" s="49"/>
      <c r="AB17" s="49"/>
      <c r="AC17" s="49"/>
      <c r="AD17" s="49"/>
      <c r="AE17" s="49"/>
      <c r="AF17" s="49"/>
      <c r="AG17" s="49"/>
      <c r="AH17" s="49"/>
      <c r="AI17" s="49"/>
      <c r="AJ17" s="49"/>
      <c r="AK17" s="49"/>
      <c r="AL17" s="49"/>
      <c r="AM17" s="49"/>
      <c r="AN17" s="49"/>
      <c r="AO17" s="49"/>
    </row>
    <row r="18" spans="1:41" x14ac:dyDescent="0.25">
      <c r="A18" s="49"/>
      <c r="B18" s="96">
        <v>1</v>
      </c>
      <c r="C18" s="61" t="s">
        <v>115</v>
      </c>
      <c r="D18" s="93">
        <f>D4</f>
        <v>2.75</v>
      </c>
      <c r="E18" s="93">
        <f>M4</f>
        <v>0.70995208966533951</v>
      </c>
      <c r="F18" s="93">
        <f>0.6*E18</f>
        <v>0.4259712537992037</v>
      </c>
      <c r="G18" s="93">
        <f>(E18/2)+F18</f>
        <v>0.78094729863187351</v>
      </c>
      <c r="H18" s="93">
        <f>2.67*G18</f>
        <v>2.0851292873471023</v>
      </c>
      <c r="I18" s="93">
        <f>(0.555*D18)/H18</f>
        <v>0.73196900032124101</v>
      </c>
      <c r="J18" s="93">
        <v>58</v>
      </c>
      <c r="K18" s="93">
        <f>K27*$I$18</f>
        <v>1.237553033366618</v>
      </c>
      <c r="L18" s="93">
        <f t="shared" ref="L18:R18" si="2">L27*$I$18</f>
        <v>2.1292845012329535</v>
      </c>
      <c r="M18" s="93">
        <f t="shared" si="2"/>
        <v>3.4303501149078524</v>
      </c>
      <c r="N18" s="93">
        <f t="shared" si="2"/>
        <v>5.9883505620314157</v>
      </c>
      <c r="O18" s="93">
        <f t="shared" si="2"/>
        <v>8.7497249861779327</v>
      </c>
      <c r="P18" s="93">
        <f t="shared" si="2"/>
        <v>13.834398626663146</v>
      </c>
      <c r="Q18" s="93">
        <f t="shared" si="2"/>
        <v>19.056242624807371</v>
      </c>
      <c r="R18" s="93">
        <f t="shared" si="2"/>
        <v>25.769208915908774</v>
      </c>
      <c r="S18" s="49"/>
      <c r="T18" s="49"/>
      <c r="U18" s="49"/>
      <c r="V18" s="49"/>
      <c r="W18" s="49"/>
      <c r="X18" s="49"/>
      <c r="Y18" s="49"/>
      <c r="Z18" s="49"/>
      <c r="AA18" s="49"/>
      <c r="AB18" s="49"/>
      <c r="AC18" s="49"/>
      <c r="AD18" s="49"/>
      <c r="AE18" s="49"/>
      <c r="AF18" s="49"/>
      <c r="AG18" s="49"/>
      <c r="AH18" s="49"/>
      <c r="AI18" s="49"/>
      <c r="AJ18" s="49"/>
      <c r="AK18" s="49"/>
      <c r="AL18" s="49"/>
      <c r="AM18" s="49"/>
      <c r="AN18" s="49"/>
      <c r="AO18" s="49"/>
    </row>
    <row r="19" spans="1:41" x14ac:dyDescent="0.25">
      <c r="A19" s="49"/>
      <c r="B19" s="96">
        <v>2</v>
      </c>
      <c r="C19" s="61" t="s">
        <v>113</v>
      </c>
      <c r="D19" s="93">
        <f>D5</f>
        <v>4.46</v>
      </c>
      <c r="E19" s="93">
        <f>M5</f>
        <v>1.2539951660041988</v>
      </c>
      <c r="F19" s="93">
        <f t="shared" ref="F19:F20" si="3">0.6*E19</f>
        <v>0.75239709960251921</v>
      </c>
      <c r="G19" s="93">
        <f t="shared" ref="G19:G20" si="4">(E19/2)+F19</f>
        <v>1.3793946826046186</v>
      </c>
      <c r="H19" s="93">
        <f t="shared" ref="H19:H20" si="5">2.67*G19</f>
        <v>3.6829838025543316</v>
      </c>
      <c r="I19" s="93">
        <f>(0.555*D19)/H19</f>
        <v>0.67209092754718536</v>
      </c>
      <c r="J19" s="93">
        <v>56</v>
      </c>
      <c r="K19" s="93">
        <f>K28*$I$19</f>
        <v>0.98005729565697874</v>
      </c>
      <c r="L19" s="93">
        <f t="shared" ref="L19:R19" si="6">L28*$I$19</f>
        <v>1.7405124612616822</v>
      </c>
      <c r="M19" s="93">
        <f t="shared" si="6"/>
        <v>2.8681778873276378</v>
      </c>
      <c r="N19" s="93">
        <f t="shared" si="6"/>
        <v>5.1174388721266899</v>
      </c>
      <c r="O19" s="93">
        <f t="shared" si="6"/>
        <v>7.571991523089344</v>
      </c>
      <c r="P19" s="93">
        <f t="shared" si="6"/>
        <v>12.13084239343838</v>
      </c>
      <c r="Q19" s="93">
        <f t="shared" si="6"/>
        <v>16.843463829128119</v>
      </c>
      <c r="R19" s="93">
        <f t="shared" si="6"/>
        <v>22.928636075391452</v>
      </c>
      <c r="S19" s="49"/>
      <c r="T19" s="49"/>
      <c r="U19" s="49"/>
      <c r="V19" s="49"/>
      <c r="W19" s="49"/>
      <c r="X19" s="49"/>
      <c r="Y19" s="49"/>
      <c r="Z19" s="49"/>
      <c r="AA19" s="49"/>
      <c r="AB19" s="49"/>
      <c r="AC19" s="49"/>
      <c r="AD19" s="49"/>
      <c r="AE19" s="49"/>
      <c r="AF19" s="49"/>
      <c r="AG19" s="49"/>
      <c r="AH19" s="49"/>
      <c r="AI19" s="49"/>
      <c r="AJ19" s="49"/>
      <c r="AK19" s="49"/>
      <c r="AL19" s="49"/>
      <c r="AM19" s="49"/>
      <c r="AN19" s="49"/>
      <c r="AO19" s="49"/>
    </row>
    <row r="20" spans="1:41" ht="12.75" customHeight="1" x14ac:dyDescent="0.25">
      <c r="A20" s="49"/>
      <c r="B20" s="96">
        <v>3</v>
      </c>
      <c r="C20" s="61" t="s">
        <v>161</v>
      </c>
      <c r="D20" s="93">
        <f>D6</f>
        <v>4.6100000000000003</v>
      </c>
      <c r="E20" s="93">
        <f>M6</f>
        <v>1.1361531365103044</v>
      </c>
      <c r="F20" s="93">
        <f t="shared" si="3"/>
        <v>0.68169188190618257</v>
      </c>
      <c r="G20" s="93">
        <f t="shared" si="4"/>
        <v>1.2497684501613349</v>
      </c>
      <c r="H20" s="93">
        <f t="shared" si="5"/>
        <v>3.3368817619307638</v>
      </c>
      <c r="I20" s="93">
        <f>(0.555*D20)/H20</f>
        <v>0.76674877401697017</v>
      </c>
      <c r="J20" s="93">
        <v>56</v>
      </c>
      <c r="K20" s="93">
        <f>K29*$I$20</f>
        <v>1.118089382122508</v>
      </c>
      <c r="L20" s="93">
        <f t="shared" ref="L20:R20" si="7">L29*$I$20</f>
        <v>1.9856476871426905</v>
      </c>
      <c r="M20" s="93">
        <f t="shared" si="7"/>
        <v>3.2721344518025099</v>
      </c>
      <c r="N20" s="93">
        <f t="shared" si="7"/>
        <v>5.8381832286144784</v>
      </c>
      <c r="O20" s="93">
        <f t="shared" si="7"/>
        <v>8.6384371209772617</v>
      </c>
      <c r="P20" s="93">
        <f t="shared" si="7"/>
        <v>13.839360348022183</v>
      </c>
      <c r="Q20" s="93">
        <f t="shared" si="7"/>
        <v>19.215711315008736</v>
      </c>
      <c r="R20" s="93">
        <f t="shared" si="7"/>
        <v>26.157924292845628</v>
      </c>
      <c r="S20" s="49"/>
      <c r="T20" s="49"/>
      <c r="U20" s="101" t="s">
        <v>179</v>
      </c>
      <c r="V20" s="102" t="s">
        <v>42</v>
      </c>
      <c r="W20" s="102" t="s">
        <v>43</v>
      </c>
      <c r="X20" s="102" t="s">
        <v>180</v>
      </c>
      <c r="Y20" s="102" t="s">
        <v>45</v>
      </c>
      <c r="Z20" s="102" t="s">
        <v>181</v>
      </c>
      <c r="AA20" s="102" t="s">
        <v>182</v>
      </c>
      <c r="AB20" s="102" t="s">
        <v>183</v>
      </c>
      <c r="AC20" s="102" t="s">
        <v>184</v>
      </c>
      <c r="AD20" s="49"/>
      <c r="AE20" s="49"/>
      <c r="AF20" s="49"/>
      <c r="AG20" s="49"/>
      <c r="AH20" s="49"/>
      <c r="AI20" s="49"/>
      <c r="AJ20" s="49"/>
      <c r="AK20" s="49"/>
      <c r="AL20" s="49"/>
      <c r="AM20" s="49"/>
      <c r="AN20" s="49"/>
      <c r="AO20" s="49"/>
    </row>
    <row r="21" spans="1:41" x14ac:dyDescent="0.25">
      <c r="A21" s="49"/>
      <c r="B21" s="49"/>
      <c r="C21" s="49"/>
      <c r="D21" s="49"/>
      <c r="E21" s="49"/>
      <c r="F21" s="49"/>
      <c r="G21" s="49"/>
      <c r="H21" s="49"/>
      <c r="I21" s="49"/>
      <c r="J21" s="49"/>
      <c r="K21" s="66"/>
      <c r="L21" s="66"/>
      <c r="M21" s="66"/>
      <c r="N21" s="66"/>
      <c r="O21" s="66"/>
      <c r="P21" s="66"/>
      <c r="Q21" s="66"/>
      <c r="R21" s="66"/>
      <c r="S21" s="49"/>
      <c r="T21" s="49"/>
      <c r="U21" s="96">
        <v>10</v>
      </c>
      <c r="V21" s="93">
        <v>65.532915541523636</v>
      </c>
      <c r="W21" s="93">
        <v>81.179739934794256</v>
      </c>
      <c r="X21" s="93">
        <v>100.56244440559202</v>
      </c>
      <c r="Y21" s="93">
        <v>133.46257200164598</v>
      </c>
      <c r="Z21" s="93">
        <v>165.32847343343562</v>
      </c>
      <c r="AA21" s="93">
        <v>219.41753126582839</v>
      </c>
      <c r="AB21" s="93">
        <v>271.80628205085952</v>
      </c>
      <c r="AC21" s="93">
        <v>336.7035192498181</v>
      </c>
      <c r="AD21" s="49"/>
      <c r="AE21" s="49"/>
      <c r="AF21" s="49"/>
      <c r="AG21" s="49"/>
      <c r="AH21" s="49"/>
      <c r="AI21" s="49"/>
      <c r="AJ21" s="49"/>
      <c r="AK21" s="49"/>
      <c r="AL21" s="49"/>
      <c r="AM21" s="49"/>
      <c r="AN21" s="49"/>
      <c r="AO21" s="49"/>
    </row>
    <row r="22" spans="1:41" x14ac:dyDescent="0.25">
      <c r="A22" s="49"/>
      <c r="B22" s="49"/>
      <c r="C22" s="49"/>
      <c r="D22" s="49"/>
      <c r="E22" s="49"/>
      <c r="F22" s="49"/>
      <c r="G22" s="49"/>
      <c r="H22" s="49"/>
      <c r="I22" s="49"/>
      <c r="J22" s="49"/>
      <c r="K22" s="66"/>
      <c r="L22" s="66"/>
      <c r="M22" s="66"/>
      <c r="N22" s="66"/>
      <c r="O22" s="66"/>
      <c r="P22" s="66"/>
      <c r="Q22" s="66"/>
      <c r="R22" s="66"/>
      <c r="S22" s="49"/>
      <c r="T22" s="49"/>
      <c r="U22" s="96">
        <v>20</v>
      </c>
      <c r="V22" s="93">
        <v>38.966104714426166</v>
      </c>
      <c r="W22" s="93">
        <v>48.269762162263937</v>
      </c>
      <c r="X22" s="93">
        <v>59.794787194597816</v>
      </c>
      <c r="Y22" s="93">
        <v>79.35732010546019</v>
      </c>
      <c r="Z22" s="93">
        <v>98.304898459790024</v>
      </c>
      <c r="AA22" s="93">
        <v>130.46644466882759</v>
      </c>
      <c r="AB22" s="93">
        <v>161.61698225865931</v>
      </c>
      <c r="AC22" s="93">
        <v>200.20511036916972</v>
      </c>
      <c r="AD22" s="49"/>
      <c r="AE22" s="49"/>
      <c r="AF22" s="49"/>
      <c r="AG22" s="49"/>
      <c r="AH22" s="49"/>
      <c r="AI22" s="49"/>
      <c r="AJ22" s="49"/>
      <c r="AK22" s="49"/>
      <c r="AL22" s="49"/>
      <c r="AM22" s="49"/>
      <c r="AN22" s="49"/>
      <c r="AO22" s="49"/>
    </row>
    <row r="23" spans="1:41" x14ac:dyDescent="0.25">
      <c r="A23" s="49"/>
      <c r="B23" s="49">
        <v>1</v>
      </c>
      <c r="C23" s="49"/>
      <c r="D23" s="49"/>
      <c r="E23" s="49"/>
      <c r="F23" s="49"/>
      <c r="G23" s="49"/>
      <c r="H23" s="49"/>
      <c r="I23" s="49"/>
      <c r="J23" s="49"/>
      <c r="K23" s="66"/>
      <c r="L23" s="66"/>
      <c r="M23" s="66"/>
      <c r="N23" s="66"/>
      <c r="O23" s="66"/>
      <c r="P23" s="66"/>
      <c r="Q23" s="66"/>
      <c r="R23" s="66"/>
      <c r="S23" s="49"/>
      <c r="T23" s="49"/>
      <c r="U23" s="96">
        <v>30</v>
      </c>
      <c r="V23" s="93">
        <v>28.748722379069935</v>
      </c>
      <c r="W23" s="93">
        <v>35.61284870214147</v>
      </c>
      <c r="X23" s="93">
        <v>44.115873253726484</v>
      </c>
      <c r="Y23" s="93">
        <v>58.548874237722416</v>
      </c>
      <c r="Z23" s="93">
        <v>72.528169162283746</v>
      </c>
      <c r="AA23" s="93">
        <v>96.256570295049286</v>
      </c>
      <c r="AB23" s="93">
        <v>119.23906145479062</v>
      </c>
      <c r="AC23" s="93">
        <v>147.70891725144503</v>
      </c>
      <c r="AD23" s="49"/>
      <c r="AE23" s="49"/>
      <c r="AF23" s="49"/>
      <c r="AG23" s="49"/>
      <c r="AH23" s="49"/>
      <c r="AI23" s="49"/>
      <c r="AJ23" s="49"/>
      <c r="AK23" s="49"/>
      <c r="AL23" s="49"/>
      <c r="AM23" s="49"/>
      <c r="AN23" s="49"/>
      <c r="AO23" s="49"/>
    </row>
    <row r="24" spans="1:41" x14ac:dyDescent="0.25">
      <c r="A24" s="49"/>
      <c r="B24" s="49"/>
      <c r="C24" s="49"/>
      <c r="D24" s="49"/>
      <c r="E24" s="49"/>
      <c r="F24" s="49"/>
      <c r="G24" s="49"/>
      <c r="H24" s="49"/>
      <c r="I24" s="49"/>
      <c r="J24" s="49"/>
      <c r="K24" s="49"/>
      <c r="L24" s="49"/>
      <c r="M24" s="49"/>
      <c r="N24" s="49"/>
      <c r="O24" s="49"/>
      <c r="P24" s="49"/>
      <c r="Q24" s="49"/>
      <c r="R24" s="49"/>
      <c r="S24" s="49"/>
      <c r="T24" s="49"/>
      <c r="U24" s="96">
        <v>40</v>
      </c>
      <c r="V24" s="93">
        <v>23.169384485168333</v>
      </c>
      <c r="W24" s="93">
        <v>28.701372301426701</v>
      </c>
      <c r="X24" s="93">
        <v>35.554193185944662</v>
      </c>
      <c r="Y24" s="93">
        <v>47.186144848480872</v>
      </c>
      <c r="Z24" s="93">
        <v>58.452442344001163</v>
      </c>
      <c r="AA24" s="93">
        <v>77.575812134639293</v>
      </c>
      <c r="AB24" s="93">
        <v>96.098032603633087</v>
      </c>
      <c r="AC24" s="93">
        <v>119.04267085546083</v>
      </c>
      <c r="AD24" s="49"/>
      <c r="AE24" s="49"/>
      <c r="AF24" s="49"/>
      <c r="AG24" s="49"/>
      <c r="AH24" s="49"/>
      <c r="AI24" s="49"/>
      <c r="AJ24" s="49"/>
      <c r="AK24" s="49"/>
      <c r="AL24" s="49"/>
      <c r="AM24" s="49"/>
      <c r="AN24" s="49"/>
      <c r="AO24" s="49"/>
    </row>
    <row r="25" spans="1:41" x14ac:dyDescent="0.25">
      <c r="A25" s="49"/>
      <c r="B25" s="49"/>
      <c r="C25" s="49"/>
      <c r="D25" s="49"/>
      <c r="E25" s="49"/>
      <c r="F25" s="49"/>
      <c r="G25" s="49"/>
      <c r="H25" s="49"/>
      <c r="I25" s="49"/>
      <c r="J25" s="50" t="s">
        <v>194</v>
      </c>
      <c r="K25" s="49"/>
      <c r="L25" s="49"/>
      <c r="M25" s="49"/>
      <c r="N25" s="49"/>
      <c r="O25" s="49"/>
      <c r="P25" s="49"/>
      <c r="Q25" s="49"/>
      <c r="R25" s="49"/>
      <c r="S25" s="49"/>
      <c r="T25" s="49"/>
      <c r="U25" s="96">
        <v>50</v>
      </c>
      <c r="V25" s="93">
        <v>19.598913076978118</v>
      </c>
      <c r="W25" s="93">
        <v>24.278405034270055</v>
      </c>
      <c r="X25" s="93">
        <v>30.075185735705762</v>
      </c>
      <c r="Y25" s="93">
        <v>39.914618876262153</v>
      </c>
      <c r="Z25" s="93">
        <v>49.444746249970599</v>
      </c>
      <c r="AA25" s="93">
        <v>65.621147591385125</v>
      </c>
      <c r="AB25" s="93">
        <v>81.289038518604841</v>
      </c>
      <c r="AC25" s="93">
        <v>100.69783942862229</v>
      </c>
      <c r="AD25" s="49"/>
      <c r="AE25" s="49"/>
      <c r="AF25" s="49"/>
      <c r="AG25" s="49"/>
      <c r="AH25" s="49"/>
      <c r="AI25" s="49"/>
      <c r="AJ25" s="49"/>
      <c r="AK25" s="49"/>
      <c r="AL25" s="49"/>
      <c r="AM25" s="49"/>
      <c r="AN25" s="49"/>
      <c r="AO25" s="49"/>
    </row>
    <row r="26" spans="1:41" x14ac:dyDescent="0.25">
      <c r="A26" s="49"/>
      <c r="B26" s="49">
        <v>2</v>
      </c>
      <c r="C26" s="49"/>
      <c r="D26" s="66">
        <f>2*SQRT(E18)</f>
        <v>1.6851730945696226</v>
      </c>
      <c r="E26" s="49"/>
      <c r="F26" s="49"/>
      <c r="G26" s="49"/>
      <c r="H26" s="49"/>
      <c r="I26" s="49"/>
      <c r="J26" s="99" t="s">
        <v>195</v>
      </c>
      <c r="K26" s="99" t="s">
        <v>170</v>
      </c>
      <c r="L26" s="99" t="s">
        <v>171</v>
      </c>
      <c r="M26" s="99" t="s">
        <v>172</v>
      </c>
      <c r="N26" s="99" t="s">
        <v>173</v>
      </c>
      <c r="O26" s="99" t="s">
        <v>174</v>
      </c>
      <c r="P26" s="99" t="s">
        <v>175</v>
      </c>
      <c r="Q26" s="99" t="s">
        <v>176</v>
      </c>
      <c r="R26" s="99" t="s">
        <v>187</v>
      </c>
      <c r="S26" s="49"/>
      <c r="T26" s="49"/>
      <c r="U26" s="96">
        <v>60</v>
      </c>
      <c r="V26" s="93">
        <v>17.094092600213969</v>
      </c>
      <c r="W26" s="93">
        <v>21.175526531051037</v>
      </c>
      <c r="X26" s="93">
        <v>26.231455178944898</v>
      </c>
      <c r="Y26" s="93">
        <v>34.813368909449522</v>
      </c>
      <c r="Z26" s="93">
        <v>43.125507402954405</v>
      </c>
      <c r="AA26" s="93">
        <v>57.234499130316109</v>
      </c>
      <c r="AB26" s="93">
        <v>70.899970134141881</v>
      </c>
      <c r="AC26" s="93">
        <v>87.828247672383327</v>
      </c>
      <c r="AD26" s="49"/>
      <c r="AE26" s="49"/>
      <c r="AF26" s="49"/>
      <c r="AG26" s="49"/>
      <c r="AH26" s="49"/>
      <c r="AI26" s="49"/>
      <c r="AJ26" s="49"/>
      <c r="AK26" s="49"/>
      <c r="AL26" s="49"/>
      <c r="AM26" s="49"/>
      <c r="AN26" s="49"/>
      <c r="AO26" s="49"/>
    </row>
    <row r="27" spans="1:41" x14ac:dyDescent="0.25">
      <c r="A27" s="49"/>
      <c r="B27" s="49"/>
      <c r="C27" s="49"/>
      <c r="D27" s="66">
        <f>2*SQRT(E19)</f>
        <v>2.239638511906954</v>
      </c>
      <c r="E27" s="49"/>
      <c r="F27" s="49"/>
      <c r="G27" s="49"/>
      <c r="H27" s="49"/>
      <c r="I27" s="49"/>
      <c r="J27" s="103" t="s">
        <v>207</v>
      </c>
      <c r="K27" s="93">
        <f>(V32-(508/$J$18)+5.08)^2/(V32+(2032/$J$18)-20.32)</f>
        <v>1.6907178211420022</v>
      </c>
      <c r="L27" s="93">
        <f t="shared" ref="L27:R27" si="8">(W32-(508/$J$18)+5.08)^2/(W32+(2032/$J$18)-20.32)</f>
        <v>2.9089818015496136</v>
      </c>
      <c r="M27" s="93">
        <f t="shared" si="8"/>
        <v>4.6864691174112103</v>
      </c>
      <c r="N27" s="93">
        <f t="shared" si="8"/>
        <v>8.1811532447457385</v>
      </c>
      <c r="O27" s="93">
        <f t="shared" si="8"/>
        <v>11.953682440564997</v>
      </c>
      <c r="P27" s="93">
        <f t="shared" si="8"/>
        <v>18.9002520879868</v>
      </c>
      <c r="Q27" s="93">
        <f t="shared" si="8"/>
        <v>26.034220870616256</v>
      </c>
      <c r="R27" s="93">
        <f t="shared" si="8"/>
        <v>35.205328237397183</v>
      </c>
      <c r="S27" s="49"/>
      <c r="T27" s="49"/>
      <c r="U27" s="96">
        <v>70</v>
      </c>
      <c r="V27" s="93">
        <v>15.227757777080411</v>
      </c>
      <c r="W27" s="93">
        <v>18.86358032323686</v>
      </c>
      <c r="X27" s="93">
        <v>23.367502151024649</v>
      </c>
      <c r="Y27" s="93">
        <v>31.012441640254345</v>
      </c>
      <c r="Z27" s="93">
        <v>38.417059981157337</v>
      </c>
      <c r="AA27" s="93">
        <v>50.985630511798206</v>
      </c>
      <c r="AB27" s="93">
        <v>63.159103958020786</v>
      </c>
      <c r="AC27" s="93">
        <v>78.239150378987603</v>
      </c>
      <c r="AD27" s="49"/>
      <c r="AE27" s="49"/>
      <c r="AF27" s="49"/>
      <c r="AG27" s="49"/>
      <c r="AH27" s="49"/>
      <c r="AI27" s="49"/>
      <c r="AJ27" s="49"/>
      <c r="AK27" s="49"/>
      <c r="AL27" s="49"/>
      <c r="AM27" s="49"/>
      <c r="AN27" s="49"/>
      <c r="AO27" s="49"/>
    </row>
    <row r="28" spans="1:41" x14ac:dyDescent="0.25">
      <c r="A28" s="49"/>
      <c r="B28" s="49"/>
      <c r="C28" s="49"/>
      <c r="D28" s="66">
        <f>2*SQRT(E20)</f>
        <v>2.1318096880446946</v>
      </c>
      <c r="E28" s="49"/>
      <c r="F28" s="49"/>
      <c r="G28" s="49"/>
      <c r="H28" s="49"/>
      <c r="I28" s="49"/>
      <c r="J28" s="103" t="s">
        <v>207</v>
      </c>
      <c r="K28" s="93">
        <f>(V32-(508/$J$19)+5.08)^2/(V32+(2032/$J$19)-20.32)</f>
        <v>1.4582212844826299</v>
      </c>
      <c r="L28" s="93">
        <f t="shared" ref="L28:R28" si="9">(W32-(508/$J$19)+5.08)^2/(W32+(2032/$J$19)-20.32)</f>
        <v>2.5896978964047785</v>
      </c>
      <c r="M28" s="93">
        <f t="shared" si="9"/>
        <v>4.2675444196146692</v>
      </c>
      <c r="N28" s="93">
        <f t="shared" si="9"/>
        <v>7.614206147377895</v>
      </c>
      <c r="O28" s="93">
        <f t="shared" si="9"/>
        <v>11.266320095591141</v>
      </c>
      <c r="P28" s="93">
        <f t="shared" si="9"/>
        <v>18.049406555315706</v>
      </c>
      <c r="Q28" s="93">
        <f t="shared" si="9"/>
        <v>25.061287303190969</v>
      </c>
      <c r="R28" s="93">
        <f t="shared" si="9"/>
        <v>34.115378047238565</v>
      </c>
      <c r="S28" s="49"/>
      <c r="T28" s="49"/>
      <c r="U28" s="96">
        <v>80</v>
      </c>
      <c r="V28" s="93">
        <v>13.776598439997924</v>
      </c>
      <c r="W28" s="93">
        <v>17.065938075599334</v>
      </c>
      <c r="X28" s="93">
        <v>21.140649752453331</v>
      </c>
      <c r="Y28" s="93">
        <v>28.057049591681235</v>
      </c>
      <c r="Z28" s="93">
        <v>34.756030162386267</v>
      </c>
      <c r="AA28" s="93">
        <v>46.126853871313756</v>
      </c>
      <c r="AB28" s="93">
        <v>57.140232055001988</v>
      </c>
      <c r="AC28" s="93">
        <v>70.783195585120566</v>
      </c>
      <c r="AD28" s="49"/>
      <c r="AE28" s="49"/>
      <c r="AF28" s="49"/>
      <c r="AG28" s="49"/>
      <c r="AH28" s="49"/>
      <c r="AI28" s="49"/>
      <c r="AJ28" s="49"/>
      <c r="AK28" s="49"/>
      <c r="AL28" s="49"/>
      <c r="AM28" s="49"/>
      <c r="AN28" s="49"/>
      <c r="AO28" s="49"/>
    </row>
    <row r="29" spans="1:41" x14ac:dyDescent="0.25">
      <c r="A29" s="49"/>
      <c r="B29" s="49"/>
      <c r="C29" s="49"/>
      <c r="D29" s="49"/>
      <c r="E29" s="49"/>
      <c r="F29" s="49"/>
      <c r="G29" s="49"/>
      <c r="H29" s="49"/>
      <c r="I29" s="49"/>
      <c r="J29" s="103" t="s">
        <v>207</v>
      </c>
      <c r="K29" s="93">
        <f>(V32-(508/$J$20)+5.08)^2/(V32+(2032/$J$20)-20.32)</f>
        <v>1.4582212844826299</v>
      </c>
      <c r="L29" s="93">
        <f t="shared" ref="L29:Q29" si="10">(W32-(508/$J$20)+5.08)^2/(W32+(2032/$J$20)-20.32)</f>
        <v>2.5896978964047785</v>
      </c>
      <c r="M29" s="93">
        <f t="shared" si="10"/>
        <v>4.2675444196146692</v>
      </c>
      <c r="N29" s="93">
        <f t="shared" si="10"/>
        <v>7.614206147377895</v>
      </c>
      <c r="O29" s="93">
        <f t="shared" si="10"/>
        <v>11.266320095591141</v>
      </c>
      <c r="P29" s="93">
        <f t="shared" si="10"/>
        <v>18.049406555315706</v>
      </c>
      <c r="Q29" s="93">
        <f t="shared" si="10"/>
        <v>25.061287303190969</v>
      </c>
      <c r="R29" s="93">
        <f>(AC32-(508/$J$20)+5.08)^2/(AC32+(2032/$J$20)-20.32)</f>
        <v>34.115378047238565</v>
      </c>
      <c r="S29" s="49"/>
      <c r="T29" s="49"/>
      <c r="U29" s="96">
        <v>90</v>
      </c>
      <c r="V29" s="93">
        <v>12.611815476226562</v>
      </c>
      <c r="W29" s="93">
        <v>15.623048234699093</v>
      </c>
      <c r="X29" s="93">
        <v>19.353251449311777</v>
      </c>
      <c r="Y29" s="93">
        <v>25.684883957296709</v>
      </c>
      <c r="Z29" s="93">
        <v>31.817479547167988</v>
      </c>
      <c r="AA29" s="93">
        <v>42.22692358041639</v>
      </c>
      <c r="AB29" s="93">
        <v>52.309143369831702</v>
      </c>
      <c r="AC29" s="93">
        <v>64.798622491992276</v>
      </c>
      <c r="AD29" s="49"/>
      <c r="AE29" s="49"/>
      <c r="AF29" s="49"/>
      <c r="AG29" s="49"/>
      <c r="AH29" s="49"/>
      <c r="AI29" s="49"/>
      <c r="AJ29" s="49"/>
      <c r="AK29" s="49"/>
      <c r="AL29" s="49"/>
      <c r="AM29" s="49"/>
      <c r="AN29" s="49"/>
      <c r="AO29" s="49"/>
    </row>
    <row r="30" spans="1:41" x14ac:dyDescent="0.25">
      <c r="A30" s="49"/>
      <c r="B30" s="49">
        <v>3</v>
      </c>
      <c r="C30" s="49"/>
      <c r="D30" s="66">
        <f>(D26/2)+F18</f>
        <v>1.2685578010840151</v>
      </c>
      <c r="E30" s="49"/>
      <c r="F30" s="49"/>
      <c r="G30" s="49"/>
      <c r="H30" s="49"/>
      <c r="I30" s="49"/>
      <c r="J30" s="49"/>
      <c r="K30" s="49"/>
      <c r="L30" s="49"/>
      <c r="M30" s="49"/>
      <c r="N30" s="49"/>
      <c r="O30" s="49"/>
      <c r="P30" s="49"/>
      <c r="Q30" s="49"/>
      <c r="R30" s="49"/>
      <c r="S30" s="49"/>
      <c r="T30" s="49"/>
      <c r="U30" s="96">
        <v>100</v>
      </c>
      <c r="V30" s="93">
        <v>11.65358343873112</v>
      </c>
      <c r="W30" s="93">
        <v>14.436026003835909</v>
      </c>
      <c r="X30" s="93">
        <v>17.882812430964812</v>
      </c>
      <c r="Y30" s="93">
        <v>23.733374380136425</v>
      </c>
      <c r="Z30" s="93">
        <v>29.400022019984561</v>
      </c>
      <c r="AA30" s="93">
        <v>39.018567805159421</v>
      </c>
      <c r="AB30" s="93">
        <v>48.334751489027546</v>
      </c>
      <c r="AC30" s="93">
        <v>59.875293556959555</v>
      </c>
      <c r="AD30" s="49"/>
      <c r="AE30" s="49"/>
      <c r="AF30" s="49"/>
      <c r="AG30" s="49"/>
      <c r="AH30" s="49"/>
      <c r="AI30" s="49"/>
      <c r="AJ30" s="49"/>
      <c r="AK30" s="49"/>
      <c r="AL30" s="49"/>
      <c r="AM30" s="49"/>
      <c r="AN30" s="49"/>
      <c r="AO30" s="49"/>
    </row>
    <row r="31" spans="1:41" x14ac:dyDescent="0.25">
      <c r="A31" s="49"/>
      <c r="B31" s="49"/>
      <c r="C31" s="49"/>
      <c r="D31" s="66">
        <f t="shared" ref="D31:D32" si="11">(D27/2)+F19</f>
        <v>1.8722163555559961</v>
      </c>
      <c r="E31" s="49"/>
      <c r="F31" s="49"/>
      <c r="G31" s="49"/>
      <c r="H31" s="49"/>
      <c r="I31" s="49"/>
      <c r="J31" s="49"/>
      <c r="K31" s="49"/>
      <c r="L31" s="49"/>
      <c r="M31" s="49"/>
      <c r="N31" s="49"/>
      <c r="O31" s="49"/>
      <c r="P31" s="49"/>
      <c r="Q31" s="49"/>
      <c r="R31" s="49"/>
      <c r="S31" s="49"/>
      <c r="T31" s="49"/>
      <c r="U31" s="96">
        <v>110</v>
      </c>
      <c r="V31" s="93">
        <v>10.849631205902108</v>
      </c>
      <c r="W31" s="93">
        <v>13.440119860461246</v>
      </c>
      <c r="X31" s="93">
        <v>16.649120918073223</v>
      </c>
      <c r="Y31" s="93">
        <v>22.096066900785242</v>
      </c>
      <c r="Z31" s="93">
        <v>27.371786372773002</v>
      </c>
      <c r="AA31" s="93">
        <v>36.32677219793942</v>
      </c>
      <c r="AB31" s="93">
        <v>45.000255144007156</v>
      </c>
      <c r="AC31" s="93">
        <v>55.744643426938133</v>
      </c>
      <c r="AD31" s="49"/>
      <c r="AE31" s="49"/>
      <c r="AF31" s="49"/>
      <c r="AG31" s="49"/>
      <c r="AH31" s="49"/>
      <c r="AI31" s="49"/>
      <c r="AJ31" s="49"/>
      <c r="AK31" s="49"/>
      <c r="AL31" s="49"/>
      <c r="AM31" s="49"/>
      <c r="AN31" s="49"/>
      <c r="AO31" s="49"/>
    </row>
    <row r="32" spans="1:41" x14ac:dyDescent="0.25">
      <c r="A32" s="49"/>
      <c r="B32" s="49"/>
      <c r="C32" s="49"/>
      <c r="D32" s="66">
        <f t="shared" si="11"/>
        <v>1.7475967259285299</v>
      </c>
      <c r="E32" s="49"/>
      <c r="F32" s="49"/>
      <c r="G32" s="49"/>
      <c r="H32" s="49"/>
      <c r="I32" s="49"/>
      <c r="J32" s="49"/>
      <c r="K32" s="49"/>
      <c r="L32" s="49"/>
      <c r="M32" s="49"/>
      <c r="N32" s="49"/>
      <c r="O32" s="49"/>
      <c r="P32" s="49"/>
      <c r="Q32" s="49"/>
      <c r="R32" s="49"/>
      <c r="S32" s="49"/>
      <c r="T32" s="49"/>
      <c r="U32" s="96">
        <v>120</v>
      </c>
      <c r="V32" s="93">
        <v>10.164208272344903</v>
      </c>
      <c r="W32" s="93">
        <v>12.591043407327385</v>
      </c>
      <c r="X32" s="93">
        <v>15.597316567838117</v>
      </c>
      <c r="Y32" s="93">
        <v>20.700153002165933</v>
      </c>
      <c r="Z32" s="93">
        <v>25.642580120847935</v>
      </c>
      <c r="AA32" s="93">
        <v>34.03183679469447</v>
      </c>
      <c r="AB32" s="93">
        <v>42.157374468500954</v>
      </c>
      <c r="AC32" s="93">
        <v>52.222988515109684</v>
      </c>
      <c r="AD32" s="49"/>
      <c r="AE32" s="49"/>
      <c r="AF32" s="49"/>
      <c r="AG32" s="49"/>
      <c r="AH32" s="49"/>
      <c r="AI32" s="49"/>
      <c r="AJ32" s="49"/>
      <c r="AK32" s="49"/>
      <c r="AL32" s="49"/>
      <c r="AM32" s="49"/>
      <c r="AN32" s="49"/>
      <c r="AO32" s="49"/>
    </row>
    <row r="33" spans="1:41" x14ac:dyDescent="0.25">
      <c r="A33" s="49"/>
      <c r="B33" s="49"/>
      <c r="C33" s="49"/>
      <c r="D33" s="49"/>
      <c r="E33" s="49"/>
      <c r="F33" s="49"/>
      <c r="G33" s="49"/>
      <c r="H33" s="49"/>
      <c r="I33" s="49"/>
      <c r="J33" s="49"/>
      <c r="K33" s="49"/>
      <c r="L33" s="49"/>
      <c r="M33" s="49"/>
      <c r="N33" s="49"/>
      <c r="O33" s="49" t="s">
        <v>209</v>
      </c>
      <c r="P33" s="49"/>
      <c r="Q33" s="49"/>
      <c r="R33" s="49"/>
      <c r="S33" s="49"/>
      <c r="T33" s="49"/>
      <c r="U33" s="49"/>
      <c r="V33" s="49"/>
      <c r="W33" s="49"/>
      <c r="X33" s="49"/>
      <c r="Y33" s="49"/>
      <c r="Z33" s="49"/>
      <c r="AA33" s="49"/>
      <c r="AB33" s="49"/>
      <c r="AC33" s="49"/>
      <c r="AD33" s="49"/>
      <c r="AE33" s="49"/>
      <c r="AF33" s="49"/>
      <c r="AG33" s="49"/>
      <c r="AH33" s="49"/>
      <c r="AI33" s="49"/>
      <c r="AJ33" s="49"/>
      <c r="AK33" s="49"/>
      <c r="AL33" s="49"/>
      <c r="AM33" s="49"/>
      <c r="AN33" s="49"/>
      <c r="AO33" s="49"/>
    </row>
    <row r="34" spans="1:41" ht="15" x14ac:dyDescent="0.25">
      <c r="A34" s="49"/>
      <c r="B34" s="49">
        <v>4</v>
      </c>
      <c r="C34" s="98" t="s">
        <v>185</v>
      </c>
      <c r="D34" s="49"/>
      <c r="E34" s="49"/>
      <c r="F34" s="49"/>
      <c r="G34" s="49"/>
      <c r="H34" s="49"/>
      <c r="I34" s="49"/>
      <c r="J34" s="49"/>
      <c r="K34" s="49"/>
      <c r="L34" s="49"/>
      <c r="M34" s="49"/>
      <c r="N34" s="49"/>
      <c r="O34" s="49"/>
      <c r="P34" s="49"/>
      <c r="Q34" s="49"/>
      <c r="R34" s="49"/>
      <c r="S34" s="49"/>
      <c r="T34" s="49"/>
      <c r="U34" s="49"/>
      <c r="V34" s="49"/>
      <c r="W34" s="49"/>
      <c r="X34" s="49"/>
      <c r="Y34" s="49"/>
      <c r="Z34" s="49"/>
      <c r="AA34" s="49"/>
      <c r="AB34" s="49"/>
      <c r="AC34" s="49"/>
      <c r="AD34" s="49"/>
      <c r="AE34" s="49"/>
      <c r="AF34" s="49"/>
      <c r="AG34" s="49"/>
      <c r="AH34" s="49"/>
      <c r="AI34" s="49"/>
      <c r="AJ34" s="49"/>
      <c r="AK34" s="49"/>
      <c r="AL34" s="49"/>
      <c r="AM34" s="49"/>
      <c r="AN34" s="49"/>
      <c r="AO34" s="49"/>
    </row>
    <row r="35" spans="1:41" x14ac:dyDescent="0.25">
      <c r="A35" s="49"/>
      <c r="B35" s="49"/>
      <c r="C35" s="49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49"/>
      <c r="AH35" s="49"/>
      <c r="AI35" s="49"/>
      <c r="AJ35" s="49"/>
      <c r="AK35" s="49"/>
      <c r="AL35" s="49"/>
      <c r="AM35" s="49"/>
      <c r="AN35" s="49"/>
      <c r="AO35" s="49"/>
    </row>
    <row r="36" spans="1:41" x14ac:dyDescent="0.25">
      <c r="A36" s="49"/>
      <c r="B36" s="49">
        <v>5</v>
      </c>
      <c r="C36" s="49"/>
      <c r="D36" s="49"/>
      <c r="E36" s="49"/>
      <c r="F36" s="49"/>
      <c r="G36" s="49"/>
      <c r="H36" s="49"/>
      <c r="I36" s="49"/>
      <c r="J36" s="49"/>
      <c r="K36" s="49"/>
      <c r="L36" s="49"/>
      <c r="M36" s="49"/>
      <c r="N36" s="49"/>
      <c r="O36" s="49"/>
      <c r="P36" s="49"/>
      <c r="Q36" s="49"/>
      <c r="R36" s="49"/>
      <c r="S36" s="49"/>
      <c r="T36" s="49"/>
      <c r="U36" s="49"/>
      <c r="V36" s="49"/>
      <c r="W36" s="49"/>
      <c r="X36" s="49"/>
      <c r="Y36" s="49"/>
      <c r="Z36" s="49"/>
      <c r="AA36" s="49"/>
      <c r="AB36" s="49"/>
      <c r="AC36" s="49"/>
      <c r="AD36" s="49"/>
      <c r="AE36" s="49"/>
      <c r="AF36" s="49"/>
      <c r="AG36" s="49"/>
      <c r="AH36" s="49"/>
      <c r="AI36" s="49"/>
      <c r="AJ36" s="49"/>
      <c r="AK36" s="49"/>
      <c r="AL36" s="49"/>
      <c r="AM36" s="49"/>
      <c r="AN36" s="49"/>
      <c r="AO36" s="49"/>
    </row>
    <row r="37" spans="1:41" x14ac:dyDescent="0.25">
      <c r="A37" s="49"/>
      <c r="B37" s="49"/>
      <c r="C37" s="49"/>
      <c r="D37" s="49"/>
      <c r="E37" s="49"/>
      <c r="F37" s="49"/>
      <c r="G37" s="49"/>
      <c r="H37" s="49"/>
      <c r="I37" s="49"/>
      <c r="J37" s="49"/>
      <c r="K37" s="49"/>
      <c r="L37" s="49"/>
      <c r="M37" s="49"/>
      <c r="N37" s="49"/>
      <c r="O37" s="49"/>
      <c r="P37" s="49"/>
      <c r="Q37" s="49"/>
      <c r="R37" s="49"/>
      <c r="S37" s="49"/>
      <c r="T37" s="49"/>
      <c r="U37" s="49"/>
      <c r="V37" s="49"/>
      <c r="W37" s="49"/>
      <c r="X37" s="49"/>
      <c r="Y37" s="49"/>
      <c r="Z37" s="49"/>
      <c r="AA37" s="49"/>
      <c r="AB37" s="49"/>
      <c r="AC37" s="49"/>
      <c r="AD37" s="49"/>
      <c r="AE37" s="49"/>
      <c r="AF37" s="49"/>
      <c r="AG37" s="49"/>
      <c r="AH37" s="49"/>
      <c r="AI37" s="49"/>
      <c r="AJ37" s="49"/>
      <c r="AK37" s="49"/>
      <c r="AL37" s="49"/>
      <c r="AM37" s="49"/>
      <c r="AN37" s="49"/>
      <c r="AO37" s="49"/>
    </row>
    <row r="38" spans="1:41" x14ac:dyDescent="0.25">
      <c r="A38" s="49"/>
      <c r="B38" s="49"/>
      <c r="C38" s="49"/>
      <c r="D38" s="49"/>
      <c r="E38" s="49"/>
      <c r="F38" s="49"/>
      <c r="G38" s="49"/>
      <c r="H38" s="49"/>
      <c r="I38" s="49"/>
      <c r="J38" s="49"/>
      <c r="K38" s="49"/>
      <c r="L38" s="49"/>
      <c r="M38" s="49"/>
      <c r="N38" s="49"/>
      <c r="O38" s="49"/>
      <c r="P38" s="49"/>
      <c r="Q38" s="49"/>
      <c r="R38" s="49"/>
      <c r="S38" s="49"/>
      <c r="T38" s="49"/>
      <c r="U38" s="49"/>
      <c r="V38" s="49"/>
      <c r="W38" s="49"/>
      <c r="X38" s="49"/>
      <c r="Y38" s="49"/>
      <c r="Z38" s="49"/>
      <c r="AA38" s="49"/>
      <c r="AB38" s="49"/>
      <c r="AC38" s="49"/>
      <c r="AD38" s="49"/>
      <c r="AE38" s="49"/>
      <c r="AF38" s="49"/>
      <c r="AG38" s="49"/>
      <c r="AH38" s="49"/>
      <c r="AI38" s="49"/>
      <c r="AJ38" s="49"/>
      <c r="AK38" s="49"/>
      <c r="AL38" s="49"/>
      <c r="AM38" s="49"/>
      <c r="AN38" s="49"/>
      <c r="AO38" s="49"/>
    </row>
    <row r="39" spans="1:41" x14ac:dyDescent="0.25">
      <c r="A39" s="49"/>
      <c r="B39" s="49"/>
      <c r="C39" s="49"/>
      <c r="D39" s="49"/>
      <c r="E39" s="49"/>
      <c r="F39" s="49"/>
      <c r="G39" s="49"/>
      <c r="H39" s="49"/>
      <c r="I39" s="49"/>
      <c r="J39" s="49"/>
      <c r="K39" s="49"/>
      <c r="L39" s="49"/>
      <c r="M39" s="49"/>
      <c r="N39" s="49"/>
      <c r="O39" s="49"/>
      <c r="P39" s="49"/>
      <c r="Q39" s="49"/>
      <c r="R39" s="49"/>
      <c r="S39" s="49"/>
      <c r="T39" s="49"/>
      <c r="U39" s="49"/>
      <c r="V39" s="49"/>
      <c r="W39" s="49"/>
      <c r="X39" s="49"/>
      <c r="Y39" s="49"/>
      <c r="Z39" s="49"/>
      <c r="AA39" s="49"/>
      <c r="AB39" s="49"/>
      <c r="AC39" s="49"/>
      <c r="AD39" s="49"/>
      <c r="AE39" s="49"/>
      <c r="AF39" s="49"/>
      <c r="AG39" s="49"/>
      <c r="AH39" s="49"/>
      <c r="AI39" s="49"/>
      <c r="AJ39" s="49"/>
      <c r="AK39" s="49"/>
      <c r="AL39" s="49"/>
      <c r="AM39" s="49"/>
      <c r="AN39" s="49"/>
      <c r="AO39" s="49"/>
    </row>
    <row r="40" spans="1:41" x14ac:dyDescent="0.25">
      <c r="A40" s="49"/>
      <c r="B40" s="49"/>
      <c r="C40" s="49"/>
      <c r="D40" s="49"/>
      <c r="E40" s="49"/>
      <c r="F40" s="49"/>
      <c r="G40" s="49"/>
      <c r="H40" s="49"/>
      <c r="I40" s="49"/>
      <c r="J40" s="49"/>
      <c r="K40" s="49"/>
      <c r="L40" s="49"/>
      <c r="M40" s="49"/>
      <c r="N40" s="49"/>
      <c r="O40" s="49"/>
      <c r="P40" s="49"/>
      <c r="Q40" s="49"/>
      <c r="R40" s="49"/>
      <c r="S40" s="49"/>
      <c r="T40" s="49"/>
      <c r="U40" s="49"/>
      <c r="V40" s="49"/>
      <c r="W40" s="49"/>
      <c r="X40" s="49"/>
      <c r="Y40" s="49"/>
      <c r="Z40" s="49"/>
      <c r="AA40" s="49"/>
      <c r="AB40" s="49"/>
      <c r="AC40" s="49"/>
      <c r="AD40" s="49"/>
      <c r="AE40" s="49"/>
      <c r="AF40" s="49"/>
      <c r="AG40" s="49"/>
      <c r="AH40" s="49"/>
      <c r="AI40" s="49"/>
      <c r="AJ40" s="49"/>
      <c r="AK40" s="49"/>
      <c r="AL40" s="49"/>
      <c r="AM40" s="49"/>
      <c r="AN40" s="49"/>
      <c r="AO40" s="49"/>
    </row>
    <row r="41" spans="1:41" x14ac:dyDescent="0.25">
      <c r="A41" s="49"/>
      <c r="B41" s="49">
        <v>6</v>
      </c>
      <c r="C41" s="49"/>
      <c r="D41" s="49"/>
      <c r="E41" s="49"/>
      <c r="F41" s="49"/>
      <c r="G41" s="49"/>
      <c r="H41" s="49"/>
      <c r="I41" s="49"/>
      <c r="J41" s="49"/>
      <c r="K41" s="49"/>
      <c r="L41" s="49"/>
      <c r="M41" s="49"/>
      <c r="N41" s="49"/>
      <c r="O41" s="49"/>
      <c r="P41" s="49"/>
      <c r="Q41" s="49"/>
      <c r="R41" s="49"/>
      <c r="S41" s="49"/>
      <c r="T41" s="49"/>
      <c r="U41" s="49"/>
      <c r="V41" s="49"/>
      <c r="W41" s="49"/>
      <c r="X41" s="49"/>
      <c r="Y41" s="49"/>
      <c r="Z41" s="49"/>
      <c r="AA41" s="49"/>
      <c r="AB41" s="49"/>
      <c r="AC41" s="49"/>
      <c r="AD41" s="49"/>
      <c r="AE41" s="49"/>
      <c r="AF41" s="49"/>
      <c r="AG41" s="49"/>
      <c r="AH41" s="49"/>
      <c r="AI41" s="49"/>
      <c r="AJ41" s="49"/>
      <c r="AK41" s="49"/>
      <c r="AL41" s="49"/>
      <c r="AM41" s="49"/>
      <c r="AN41" s="49"/>
      <c r="AO41" s="49"/>
    </row>
    <row r="42" spans="1:41" x14ac:dyDescent="0.25">
      <c r="A42" s="49"/>
      <c r="B42" s="49"/>
      <c r="C42" s="49"/>
      <c r="D42" s="49"/>
      <c r="E42" s="49"/>
      <c r="F42" s="49"/>
      <c r="G42" s="49"/>
      <c r="H42" s="49"/>
      <c r="I42" s="49"/>
      <c r="J42" s="49"/>
      <c r="K42" s="49"/>
      <c r="L42" s="49"/>
      <c r="M42" s="49"/>
      <c r="N42" s="49"/>
      <c r="O42" s="49"/>
      <c r="P42" s="49"/>
      <c r="Q42" s="49"/>
      <c r="R42" s="49"/>
      <c r="S42" s="49"/>
      <c r="T42" s="49"/>
      <c r="U42" s="49"/>
      <c r="V42" s="49"/>
      <c r="W42" s="49"/>
      <c r="X42" s="49"/>
      <c r="Y42" s="49"/>
      <c r="Z42" s="49"/>
      <c r="AA42" s="49"/>
      <c r="AB42" s="49"/>
      <c r="AC42" s="49"/>
      <c r="AD42" s="49"/>
      <c r="AE42" s="49"/>
      <c r="AF42" s="49"/>
      <c r="AG42" s="49"/>
      <c r="AH42" s="49"/>
      <c r="AI42" s="49"/>
      <c r="AJ42" s="49"/>
      <c r="AK42" s="49"/>
      <c r="AL42" s="49"/>
      <c r="AM42" s="49"/>
      <c r="AN42" s="49"/>
      <c r="AO42" s="49"/>
    </row>
    <row r="43" spans="1:41" x14ac:dyDescent="0.25">
      <c r="A43" s="49"/>
      <c r="B43" s="49"/>
      <c r="C43" s="49"/>
      <c r="D43" s="49"/>
      <c r="E43" s="49"/>
      <c r="F43" s="49"/>
      <c r="G43" s="49"/>
      <c r="H43" s="49"/>
      <c r="I43" s="49"/>
      <c r="J43" s="49"/>
      <c r="K43" s="49"/>
      <c r="L43" s="49"/>
      <c r="M43" s="49"/>
      <c r="N43" s="49"/>
      <c r="O43" s="49"/>
      <c r="P43" s="49"/>
      <c r="Q43" s="49"/>
      <c r="R43" s="49"/>
      <c r="S43" s="49"/>
      <c r="T43" s="49"/>
      <c r="U43" s="49"/>
      <c r="V43" s="49"/>
      <c r="W43" s="49"/>
      <c r="X43" s="49"/>
      <c r="Y43" s="49"/>
      <c r="Z43" s="49"/>
      <c r="AA43" s="49"/>
      <c r="AB43" s="49"/>
      <c r="AC43" s="49"/>
      <c r="AD43" s="49"/>
      <c r="AE43" s="49"/>
      <c r="AF43" s="49"/>
      <c r="AG43" s="49"/>
      <c r="AH43" s="49"/>
      <c r="AI43" s="49"/>
      <c r="AJ43" s="49"/>
      <c r="AK43" s="49"/>
      <c r="AL43" s="49"/>
      <c r="AM43" s="49"/>
      <c r="AN43" s="49"/>
      <c r="AO43" s="49"/>
    </row>
    <row r="44" spans="1:41" x14ac:dyDescent="0.25">
      <c r="A44" s="49"/>
      <c r="B44" s="49"/>
      <c r="C44" s="49"/>
      <c r="D44" s="49"/>
      <c r="E44" s="49"/>
      <c r="F44" s="49"/>
      <c r="G44" s="49"/>
      <c r="H44" s="49"/>
      <c r="I44" s="49"/>
      <c r="J44" s="49"/>
      <c r="K44" s="49"/>
      <c r="L44" s="49"/>
      <c r="M44" s="49"/>
      <c r="N44" s="49"/>
      <c r="O44" s="49"/>
      <c r="P44" s="49"/>
      <c r="Q44" s="49"/>
      <c r="R44" s="49"/>
      <c r="S44" s="49"/>
      <c r="T44" s="49"/>
      <c r="U44" s="49"/>
      <c r="V44" s="49"/>
      <c r="W44" s="49"/>
      <c r="X44" s="49"/>
      <c r="Y44" s="49"/>
      <c r="Z44" s="49"/>
      <c r="AA44" s="49"/>
      <c r="AB44" s="49"/>
      <c r="AC44" s="49"/>
      <c r="AD44" s="49"/>
      <c r="AE44" s="49"/>
      <c r="AF44" s="49"/>
      <c r="AG44" s="49"/>
      <c r="AH44" s="49"/>
      <c r="AI44" s="49"/>
      <c r="AJ44" s="49"/>
      <c r="AK44" s="49"/>
      <c r="AL44" s="49"/>
      <c r="AM44" s="49"/>
      <c r="AN44" s="49"/>
      <c r="AO44" s="49"/>
    </row>
    <row r="45" spans="1:41" x14ac:dyDescent="0.25">
      <c r="A45" s="49"/>
      <c r="B45" s="49"/>
      <c r="C45" s="49"/>
      <c r="D45" s="49"/>
      <c r="E45" s="49"/>
      <c r="F45" s="49"/>
      <c r="G45" s="49"/>
      <c r="H45" s="49"/>
      <c r="I45" s="49"/>
      <c r="J45" s="49"/>
      <c r="K45" s="49"/>
      <c r="L45" s="49"/>
      <c r="M45" s="49"/>
      <c r="N45" s="49"/>
      <c r="O45" s="49"/>
      <c r="P45" s="49"/>
      <c r="Q45" s="49"/>
      <c r="R45" s="49"/>
      <c r="S45" s="49"/>
      <c r="T45" s="49"/>
      <c r="U45" s="49"/>
      <c r="V45" s="49"/>
      <c r="W45" s="49"/>
      <c r="X45" s="49"/>
      <c r="Y45" s="49"/>
      <c r="Z45" s="49"/>
      <c r="AA45" s="49"/>
      <c r="AB45" s="49"/>
      <c r="AC45" s="49"/>
      <c r="AD45" s="49"/>
      <c r="AE45" s="49"/>
      <c r="AF45" s="49"/>
      <c r="AG45" s="49"/>
      <c r="AH45" s="49"/>
      <c r="AI45" s="49"/>
      <c r="AJ45" s="49"/>
      <c r="AK45" s="49"/>
      <c r="AL45" s="49"/>
      <c r="AM45" s="49"/>
      <c r="AN45" s="49"/>
      <c r="AO45" s="49"/>
    </row>
    <row r="46" spans="1:41" x14ac:dyDescent="0.25">
      <c r="A46" s="49"/>
      <c r="B46" s="49"/>
      <c r="C46" s="49"/>
      <c r="D46" s="49"/>
      <c r="E46" s="49"/>
      <c r="F46" s="49"/>
      <c r="G46" s="49"/>
      <c r="H46" s="49"/>
      <c r="I46" s="49"/>
      <c r="J46" s="49"/>
      <c r="K46" s="49"/>
      <c r="L46" s="49"/>
      <c r="M46" s="49"/>
      <c r="N46" s="49"/>
      <c r="O46" s="49"/>
      <c r="P46" s="49"/>
      <c r="Q46" s="49"/>
      <c r="R46" s="49"/>
      <c r="S46" s="49"/>
      <c r="T46" s="49"/>
      <c r="U46" s="49"/>
      <c r="V46" s="49"/>
      <c r="W46" s="49"/>
      <c r="X46" s="49"/>
      <c r="Y46" s="49"/>
      <c r="Z46" s="49"/>
      <c r="AA46" s="49"/>
      <c r="AB46" s="49"/>
      <c r="AC46" s="49"/>
      <c r="AD46" s="49"/>
      <c r="AE46" s="49"/>
      <c r="AF46" s="49"/>
      <c r="AG46" s="49"/>
      <c r="AH46" s="49"/>
      <c r="AI46" s="49"/>
      <c r="AJ46" s="49"/>
      <c r="AK46" s="49"/>
      <c r="AL46" s="49"/>
      <c r="AM46" s="49"/>
      <c r="AN46" s="49"/>
      <c r="AO46" s="49"/>
    </row>
    <row r="47" spans="1:41" x14ac:dyDescent="0.25">
      <c r="A47" s="49"/>
      <c r="B47" s="49"/>
      <c r="C47" s="49"/>
      <c r="D47" s="49"/>
      <c r="E47" s="49"/>
      <c r="F47" s="49"/>
      <c r="G47" s="49"/>
      <c r="H47" s="49"/>
      <c r="I47" s="49"/>
      <c r="J47" s="49"/>
      <c r="K47" s="49"/>
      <c r="L47" s="49"/>
      <c r="M47" s="49"/>
      <c r="N47" s="49"/>
      <c r="O47" s="49"/>
      <c r="P47" s="49"/>
      <c r="Q47" s="49"/>
      <c r="R47" s="49"/>
      <c r="S47" s="49"/>
      <c r="T47" s="49"/>
      <c r="U47" s="49"/>
      <c r="V47" s="49"/>
      <c r="W47" s="49"/>
      <c r="X47" s="49"/>
      <c r="Y47" s="49"/>
      <c r="Z47" s="49"/>
      <c r="AA47" s="49"/>
      <c r="AB47" s="49"/>
      <c r="AC47" s="49"/>
      <c r="AD47" s="49"/>
      <c r="AE47" s="49"/>
      <c r="AF47" s="49"/>
      <c r="AG47" s="49"/>
      <c r="AH47" s="49"/>
      <c r="AI47" s="49"/>
      <c r="AJ47" s="49"/>
      <c r="AK47" s="49"/>
      <c r="AL47" s="49"/>
      <c r="AM47" s="49"/>
      <c r="AN47" s="49"/>
      <c r="AO47" s="49"/>
    </row>
    <row r="48" spans="1:41" x14ac:dyDescent="0.25">
      <c r="A48" s="49"/>
      <c r="B48" s="49"/>
      <c r="C48" s="49"/>
      <c r="D48" s="49"/>
      <c r="E48" s="49"/>
      <c r="F48" s="49"/>
      <c r="G48" s="49"/>
      <c r="H48" s="49"/>
      <c r="I48" s="49"/>
      <c r="J48" s="49"/>
      <c r="K48" s="49"/>
      <c r="L48" s="49"/>
      <c r="M48" s="49"/>
      <c r="N48" s="49"/>
      <c r="O48" s="49"/>
      <c r="P48" s="49"/>
      <c r="Q48" s="49"/>
      <c r="R48" s="49"/>
      <c r="S48" s="49"/>
      <c r="T48" s="49"/>
      <c r="U48" s="49"/>
      <c r="V48" s="49"/>
      <c r="W48" s="49"/>
      <c r="X48" s="49"/>
      <c r="Y48" s="49"/>
      <c r="Z48" s="49"/>
      <c r="AA48" s="49"/>
      <c r="AB48" s="49"/>
      <c r="AC48" s="49"/>
      <c r="AD48" s="49"/>
      <c r="AE48" s="49"/>
      <c r="AF48" s="49"/>
      <c r="AG48" s="49"/>
      <c r="AH48" s="49"/>
      <c r="AI48" s="49"/>
      <c r="AJ48" s="49"/>
      <c r="AK48" s="49"/>
      <c r="AL48" s="49"/>
      <c r="AM48" s="49"/>
      <c r="AN48" s="49"/>
      <c r="AO48" s="49"/>
    </row>
    <row r="49" spans="1:41" x14ac:dyDescent="0.25">
      <c r="A49" s="49"/>
      <c r="B49" s="49"/>
      <c r="C49" s="49"/>
      <c r="D49" s="49"/>
      <c r="E49" s="49"/>
      <c r="F49" s="49"/>
      <c r="G49" s="49"/>
      <c r="H49" s="49"/>
      <c r="I49" s="49"/>
      <c r="J49" s="49"/>
      <c r="K49" s="49"/>
      <c r="L49" s="49"/>
      <c r="M49" s="49"/>
      <c r="N49" s="49"/>
      <c r="O49" s="49"/>
      <c r="P49" s="49"/>
      <c r="Q49" s="49"/>
      <c r="R49" s="49"/>
      <c r="S49" s="49"/>
      <c r="T49" s="49"/>
      <c r="U49" s="49"/>
      <c r="V49" s="49"/>
      <c r="W49" s="49"/>
      <c r="X49" s="49"/>
      <c r="Y49" s="49"/>
      <c r="Z49" s="49"/>
      <c r="AA49" s="49"/>
      <c r="AB49" s="49"/>
      <c r="AC49" s="49"/>
      <c r="AD49" s="49"/>
      <c r="AE49" s="49"/>
      <c r="AF49" s="49"/>
      <c r="AG49" s="49"/>
      <c r="AH49" s="49"/>
      <c r="AI49" s="49"/>
      <c r="AJ49" s="49"/>
      <c r="AK49" s="49"/>
      <c r="AL49" s="49"/>
      <c r="AM49" s="49"/>
      <c r="AN49" s="49"/>
      <c r="AO49" s="49"/>
    </row>
    <row r="50" spans="1:41" x14ac:dyDescent="0.25">
      <c r="A50" s="49"/>
      <c r="B50" s="49"/>
      <c r="C50" s="49"/>
      <c r="D50" s="49"/>
      <c r="E50" s="49"/>
      <c r="F50" s="49"/>
      <c r="G50" s="49"/>
      <c r="H50" s="49"/>
      <c r="I50" s="49"/>
      <c r="J50" s="49"/>
      <c r="K50" s="49"/>
      <c r="L50" s="49"/>
      <c r="M50" s="49"/>
      <c r="N50" s="49"/>
      <c r="O50" s="49"/>
      <c r="P50" s="49"/>
      <c r="Q50" s="49"/>
      <c r="R50" s="49"/>
      <c r="S50" s="49"/>
      <c r="T50" s="49"/>
      <c r="U50" s="49"/>
      <c r="V50" s="49"/>
      <c r="W50" s="49"/>
      <c r="X50" s="49"/>
      <c r="Y50" s="49"/>
      <c r="Z50" s="49"/>
      <c r="AA50" s="49"/>
      <c r="AB50" s="49"/>
      <c r="AC50" s="49"/>
      <c r="AD50" s="49"/>
      <c r="AE50" s="49"/>
      <c r="AF50" s="49"/>
      <c r="AG50" s="49"/>
      <c r="AH50" s="49"/>
      <c r="AI50" s="49"/>
      <c r="AJ50" s="49"/>
      <c r="AK50" s="49"/>
      <c r="AL50" s="49"/>
      <c r="AM50" s="49"/>
      <c r="AN50" s="49"/>
      <c r="AO50" s="49"/>
    </row>
    <row r="51" spans="1:41" x14ac:dyDescent="0.25">
      <c r="A51" s="49"/>
      <c r="B51" s="49"/>
      <c r="C51" s="49"/>
      <c r="D51" s="49"/>
      <c r="E51" s="49"/>
      <c r="F51" s="49"/>
      <c r="G51" s="49"/>
      <c r="H51" s="49"/>
      <c r="I51" s="49"/>
      <c r="J51" s="49"/>
      <c r="K51" s="49"/>
      <c r="L51" s="49"/>
      <c r="M51" s="49"/>
      <c r="N51" s="49"/>
      <c r="O51" s="49"/>
      <c r="P51" s="49"/>
      <c r="Q51" s="49"/>
      <c r="R51" s="49"/>
      <c r="S51" s="49"/>
      <c r="T51" s="49"/>
      <c r="U51" s="49"/>
      <c r="V51" s="49"/>
      <c r="W51" s="49"/>
      <c r="X51" s="49"/>
      <c r="Y51" s="49"/>
      <c r="Z51" s="49"/>
      <c r="AA51" s="49"/>
      <c r="AB51" s="49"/>
      <c r="AC51" s="49"/>
      <c r="AD51" s="49"/>
      <c r="AE51" s="49"/>
      <c r="AF51" s="49"/>
      <c r="AG51" s="49"/>
      <c r="AH51" s="49"/>
      <c r="AI51" s="49"/>
      <c r="AJ51" s="49"/>
      <c r="AK51" s="49"/>
      <c r="AL51" s="49"/>
      <c r="AM51" s="49"/>
      <c r="AN51" s="49"/>
      <c r="AO51" s="49"/>
    </row>
    <row r="52" spans="1:41" x14ac:dyDescent="0.25">
      <c r="A52" s="49"/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  <c r="Q52" s="49"/>
      <c r="R52" s="49"/>
      <c r="S52" s="49"/>
      <c r="T52" s="49"/>
      <c r="U52" s="49"/>
      <c r="V52" s="49"/>
      <c r="W52" s="49"/>
      <c r="X52" s="49"/>
      <c r="Y52" s="49"/>
      <c r="Z52" s="49"/>
      <c r="AA52" s="49"/>
      <c r="AB52" s="49"/>
      <c r="AC52" s="49"/>
      <c r="AD52" s="49"/>
      <c r="AE52" s="49"/>
      <c r="AF52" s="49"/>
      <c r="AG52" s="49"/>
      <c r="AH52" s="49"/>
      <c r="AI52" s="49"/>
      <c r="AJ52" s="49"/>
      <c r="AK52" s="49"/>
      <c r="AL52" s="49"/>
      <c r="AM52" s="49"/>
      <c r="AN52" s="49"/>
      <c r="AO52" s="49"/>
    </row>
    <row r="53" spans="1:41" x14ac:dyDescent="0.25">
      <c r="A53" s="49"/>
      <c r="B53" s="49"/>
      <c r="C53" s="49"/>
      <c r="D53" s="49"/>
      <c r="E53" s="49"/>
      <c r="F53" s="49"/>
      <c r="G53" s="49"/>
      <c r="H53" s="49"/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49"/>
      <c r="T53" s="49"/>
      <c r="U53" s="49"/>
      <c r="V53" s="49"/>
      <c r="W53" s="49"/>
      <c r="X53" s="49"/>
      <c r="Y53" s="49"/>
      <c r="Z53" s="49"/>
      <c r="AA53" s="49"/>
      <c r="AB53" s="49"/>
      <c r="AC53" s="49"/>
      <c r="AD53" s="49"/>
      <c r="AE53" s="49"/>
      <c r="AF53" s="49"/>
      <c r="AG53" s="49"/>
      <c r="AH53" s="49"/>
      <c r="AI53" s="49"/>
      <c r="AJ53" s="49"/>
      <c r="AK53" s="49"/>
      <c r="AL53" s="49"/>
      <c r="AM53" s="49"/>
      <c r="AN53" s="49"/>
      <c r="AO53" s="49"/>
    </row>
    <row r="54" spans="1:41" x14ac:dyDescent="0.25">
      <c r="A54" s="49"/>
      <c r="B54" s="49"/>
      <c r="C54" s="49"/>
      <c r="D54" s="49"/>
      <c r="E54" s="49"/>
      <c r="F54" s="49"/>
      <c r="G54" s="49"/>
      <c r="H54" s="49"/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49"/>
      <c r="T54" s="49"/>
      <c r="U54" s="49"/>
      <c r="V54" s="49"/>
      <c r="W54" s="49"/>
      <c r="X54" s="49"/>
      <c r="Y54" s="49"/>
      <c r="Z54" s="49"/>
      <c r="AA54" s="49"/>
      <c r="AB54" s="49"/>
      <c r="AC54" s="49"/>
      <c r="AD54" s="49"/>
      <c r="AE54" s="49"/>
      <c r="AF54" s="49"/>
      <c r="AG54" s="49"/>
      <c r="AH54" s="49"/>
      <c r="AI54" s="49"/>
      <c r="AJ54" s="49"/>
      <c r="AK54" s="49"/>
      <c r="AL54" s="49"/>
      <c r="AM54" s="49"/>
      <c r="AN54" s="49"/>
      <c r="AO54" s="49"/>
    </row>
    <row r="55" spans="1:41" x14ac:dyDescent="0.25">
      <c r="A55" s="49"/>
      <c r="B55" s="49"/>
      <c r="C55" s="49"/>
      <c r="D55" s="49"/>
      <c r="E55" s="49"/>
      <c r="F55" s="49"/>
      <c r="G55" s="49"/>
      <c r="H55" s="49"/>
      <c r="I55" s="49"/>
      <c r="J55" s="49"/>
      <c r="K55" s="49"/>
      <c r="L55" s="49"/>
      <c r="M55" s="49"/>
      <c r="N55" s="49"/>
      <c r="O55" s="49"/>
      <c r="P55" s="49"/>
      <c r="Q55" s="49"/>
      <c r="R55" s="49"/>
      <c r="S55" s="49"/>
      <c r="T55" s="49"/>
      <c r="U55" s="49"/>
      <c r="V55" s="49"/>
      <c r="W55" s="49"/>
      <c r="X55" s="49"/>
      <c r="Y55" s="49"/>
      <c r="Z55" s="49"/>
      <c r="AA55" s="49"/>
      <c r="AB55" s="49"/>
      <c r="AC55" s="49"/>
      <c r="AD55" s="49"/>
      <c r="AE55" s="49"/>
      <c r="AF55" s="49"/>
      <c r="AG55" s="49"/>
      <c r="AH55" s="49"/>
      <c r="AI55" s="49"/>
      <c r="AJ55" s="49"/>
      <c r="AK55" s="49"/>
      <c r="AL55" s="49"/>
      <c r="AM55" s="49"/>
      <c r="AN55" s="49"/>
      <c r="AO55" s="49"/>
    </row>
    <row r="56" spans="1:41" x14ac:dyDescent="0.25">
      <c r="A56" s="49"/>
      <c r="B56" s="49"/>
      <c r="C56" s="49"/>
      <c r="D56" s="49"/>
      <c r="E56" s="49"/>
      <c r="F56" s="49"/>
      <c r="G56" s="49"/>
      <c r="H56" s="49"/>
      <c r="I56" s="49"/>
      <c r="J56" s="49"/>
      <c r="K56" s="49"/>
      <c r="L56" s="49"/>
      <c r="M56" s="49"/>
      <c r="N56" s="49"/>
      <c r="O56" s="49"/>
      <c r="P56" s="49"/>
      <c r="Q56" s="49"/>
      <c r="R56" s="49"/>
      <c r="S56" s="49"/>
      <c r="T56" s="49"/>
      <c r="U56" s="49"/>
      <c r="V56" s="49"/>
      <c r="W56" s="49"/>
      <c r="X56" s="49"/>
      <c r="Y56" s="49"/>
      <c r="Z56" s="49"/>
      <c r="AA56" s="49"/>
      <c r="AB56" s="49"/>
      <c r="AC56" s="49"/>
      <c r="AD56" s="49"/>
      <c r="AE56" s="49"/>
      <c r="AF56" s="49"/>
      <c r="AG56" s="49"/>
      <c r="AH56" s="49"/>
      <c r="AI56" s="49"/>
      <c r="AJ56" s="49"/>
      <c r="AK56" s="49"/>
      <c r="AL56" s="49"/>
      <c r="AM56" s="49"/>
      <c r="AN56" s="49"/>
      <c r="AO56" s="49"/>
    </row>
    <row r="57" spans="1:41" x14ac:dyDescent="0.25">
      <c r="A57" s="49"/>
      <c r="B57" s="49"/>
      <c r="C57" s="49"/>
      <c r="D57" s="49"/>
      <c r="E57" s="49"/>
      <c r="F57" s="49"/>
      <c r="G57" s="49"/>
      <c r="H57" s="49"/>
      <c r="I57" s="49"/>
      <c r="J57" s="49"/>
      <c r="K57" s="49"/>
      <c r="L57" s="49"/>
      <c r="M57" s="49"/>
      <c r="N57" s="49"/>
      <c r="O57" s="49"/>
      <c r="P57" s="49"/>
      <c r="Q57" s="49"/>
      <c r="R57" s="49"/>
      <c r="S57" s="49"/>
      <c r="T57" s="49"/>
      <c r="U57" s="49"/>
      <c r="V57" s="49"/>
      <c r="W57" s="49"/>
      <c r="X57" s="49"/>
      <c r="Y57" s="49"/>
      <c r="Z57" s="49"/>
      <c r="AA57" s="49"/>
      <c r="AB57" s="49"/>
      <c r="AC57" s="49"/>
      <c r="AD57" s="49"/>
      <c r="AE57" s="49"/>
      <c r="AF57" s="49"/>
      <c r="AG57" s="49"/>
      <c r="AH57" s="49"/>
      <c r="AI57" s="49"/>
      <c r="AJ57" s="49"/>
      <c r="AK57" s="49"/>
      <c r="AL57" s="49"/>
      <c r="AM57" s="49"/>
      <c r="AN57" s="49"/>
      <c r="AO57" s="49"/>
    </row>
    <row r="58" spans="1:41" x14ac:dyDescent="0.25">
      <c r="A58" s="49"/>
      <c r="B58" s="49"/>
      <c r="C58" s="49"/>
      <c r="D58" s="49"/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T58" s="49"/>
      <c r="U58" s="49"/>
      <c r="V58" s="49"/>
      <c r="W58" s="49"/>
      <c r="X58" s="49"/>
      <c r="Y58" s="49"/>
      <c r="Z58" s="49"/>
      <c r="AA58" s="49"/>
      <c r="AB58" s="49"/>
      <c r="AC58" s="49"/>
      <c r="AD58" s="49"/>
      <c r="AE58" s="49"/>
      <c r="AF58" s="49"/>
      <c r="AG58" s="49"/>
      <c r="AH58" s="49"/>
      <c r="AI58" s="49"/>
      <c r="AJ58" s="49"/>
      <c r="AK58" s="49"/>
      <c r="AL58" s="49"/>
      <c r="AM58" s="49"/>
      <c r="AN58" s="49"/>
      <c r="AO58" s="49"/>
    </row>
    <row r="59" spans="1:41" x14ac:dyDescent="0.25">
      <c r="A59" s="49"/>
      <c r="B59" s="49"/>
      <c r="C59" s="49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49"/>
      <c r="P59" s="49"/>
      <c r="Q59" s="49"/>
      <c r="R59" s="49"/>
      <c r="S59" s="49"/>
      <c r="T59" s="49"/>
      <c r="U59" s="49"/>
      <c r="V59" s="49"/>
      <c r="W59" s="49"/>
      <c r="X59" s="49"/>
      <c r="Y59" s="49"/>
      <c r="Z59" s="49"/>
      <c r="AA59" s="49"/>
      <c r="AB59" s="49"/>
      <c r="AC59" s="49"/>
      <c r="AD59" s="49"/>
      <c r="AE59" s="49"/>
      <c r="AF59" s="49"/>
      <c r="AG59" s="49"/>
      <c r="AH59" s="49"/>
      <c r="AI59" s="49"/>
      <c r="AJ59" s="49"/>
      <c r="AK59" s="49"/>
      <c r="AL59" s="49"/>
      <c r="AM59" s="49"/>
      <c r="AN59" s="49"/>
      <c r="AO59" s="49"/>
    </row>
    <row r="60" spans="1:41" x14ac:dyDescent="0.25">
      <c r="A60" s="49"/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49"/>
      <c r="P60" s="49"/>
      <c r="Q60" s="49"/>
      <c r="R60" s="49"/>
      <c r="S60" s="49"/>
      <c r="T60" s="49"/>
      <c r="U60" s="49"/>
      <c r="V60" s="49"/>
      <c r="W60" s="49"/>
      <c r="X60" s="49"/>
      <c r="Y60" s="49"/>
      <c r="Z60" s="49"/>
      <c r="AA60" s="49"/>
      <c r="AB60" s="49"/>
      <c r="AC60" s="49"/>
      <c r="AD60" s="49"/>
      <c r="AE60" s="49"/>
      <c r="AF60" s="49"/>
      <c r="AG60" s="49"/>
      <c r="AH60" s="49"/>
      <c r="AI60" s="49"/>
      <c r="AJ60" s="49"/>
      <c r="AK60" s="49"/>
      <c r="AL60" s="49"/>
      <c r="AM60" s="49"/>
      <c r="AN60" s="49"/>
      <c r="AO60" s="49"/>
    </row>
    <row r="61" spans="1:41" x14ac:dyDescent="0.25">
      <c r="A61" s="49"/>
      <c r="B61" s="49"/>
      <c r="C61" s="49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49"/>
      <c r="P61" s="49"/>
      <c r="Q61" s="49"/>
      <c r="R61" s="49"/>
      <c r="S61" s="49"/>
      <c r="T61" s="49"/>
      <c r="U61" s="49"/>
      <c r="V61" s="49"/>
      <c r="W61" s="49"/>
      <c r="X61" s="49"/>
      <c r="Y61" s="49"/>
      <c r="Z61" s="49"/>
      <c r="AA61" s="49"/>
      <c r="AB61" s="49"/>
      <c r="AC61" s="49"/>
      <c r="AD61" s="49"/>
      <c r="AE61" s="49"/>
      <c r="AF61" s="49"/>
      <c r="AG61" s="49"/>
      <c r="AH61" s="49"/>
      <c r="AI61" s="49"/>
      <c r="AJ61" s="49"/>
      <c r="AK61" s="49"/>
      <c r="AL61" s="49"/>
      <c r="AM61" s="49"/>
      <c r="AN61" s="49"/>
      <c r="AO61" s="49"/>
    </row>
    <row r="62" spans="1:41" x14ac:dyDescent="0.25">
      <c r="A62" s="49"/>
      <c r="B62" s="49"/>
      <c r="C62" s="49"/>
      <c r="D62" s="49"/>
      <c r="E62" s="49"/>
      <c r="F62" s="49"/>
      <c r="G62" s="49"/>
      <c r="H62" s="49"/>
      <c r="I62" s="49"/>
      <c r="J62" s="49"/>
      <c r="K62" s="49"/>
      <c r="L62" s="49"/>
      <c r="M62" s="49"/>
      <c r="N62" s="49"/>
      <c r="O62" s="49"/>
      <c r="P62" s="49"/>
      <c r="Q62" s="49"/>
      <c r="R62" s="49"/>
      <c r="S62" s="49"/>
      <c r="T62" s="49"/>
      <c r="U62" s="49"/>
      <c r="V62" s="49"/>
      <c r="W62" s="49"/>
      <c r="X62" s="49"/>
      <c r="Y62" s="49"/>
      <c r="Z62" s="49"/>
      <c r="AA62" s="49"/>
      <c r="AB62" s="49"/>
      <c r="AC62" s="49"/>
      <c r="AD62" s="49"/>
      <c r="AE62" s="49"/>
      <c r="AF62" s="49"/>
      <c r="AG62" s="49"/>
      <c r="AH62" s="49"/>
      <c r="AI62" s="49"/>
      <c r="AJ62" s="49"/>
      <c r="AK62" s="49"/>
      <c r="AL62" s="49"/>
      <c r="AM62" s="49"/>
      <c r="AN62" s="49"/>
      <c r="AO62" s="49"/>
    </row>
    <row r="63" spans="1:41" x14ac:dyDescent="0.25">
      <c r="A63" s="49"/>
      <c r="B63" s="49"/>
      <c r="C63" s="49"/>
      <c r="D63" s="49"/>
      <c r="E63" s="49"/>
      <c r="F63" s="49"/>
      <c r="G63" s="49"/>
      <c r="H63" s="49"/>
      <c r="I63" s="49"/>
      <c r="J63" s="49"/>
      <c r="K63" s="49"/>
      <c r="L63" s="49"/>
      <c r="M63" s="49"/>
      <c r="N63" s="49"/>
      <c r="O63" s="49"/>
      <c r="P63" s="49"/>
      <c r="Q63" s="49"/>
      <c r="R63" s="49"/>
      <c r="S63" s="49"/>
      <c r="T63" s="49"/>
      <c r="U63" s="49"/>
      <c r="V63" s="49"/>
      <c r="W63" s="49"/>
      <c r="X63" s="49"/>
      <c r="Y63" s="49"/>
      <c r="Z63" s="49"/>
      <c r="AA63" s="49"/>
      <c r="AB63" s="49"/>
      <c r="AC63" s="49"/>
      <c r="AD63" s="49"/>
      <c r="AE63" s="49"/>
      <c r="AF63" s="49"/>
      <c r="AG63" s="49"/>
      <c r="AH63" s="49"/>
      <c r="AI63" s="49"/>
      <c r="AJ63" s="49"/>
      <c r="AK63" s="49"/>
      <c r="AL63" s="49"/>
      <c r="AM63" s="49"/>
      <c r="AN63" s="49"/>
      <c r="AO63" s="49"/>
    </row>
    <row r="64" spans="1:41" x14ac:dyDescent="0.25">
      <c r="A64" s="49"/>
      <c r="B64" s="49"/>
      <c r="C64" s="49"/>
      <c r="D64" s="49"/>
      <c r="E64" s="49"/>
      <c r="F64" s="49"/>
      <c r="G64" s="49"/>
      <c r="H64" s="49"/>
      <c r="I64" s="49"/>
      <c r="J64" s="49"/>
      <c r="K64" s="49"/>
      <c r="L64" s="49"/>
      <c r="M64" s="49"/>
      <c r="N64" s="49"/>
      <c r="O64" s="49"/>
      <c r="P64" s="49"/>
      <c r="Q64" s="49"/>
      <c r="R64" s="49"/>
      <c r="S64" s="49"/>
      <c r="T64" s="49"/>
      <c r="U64" s="49"/>
      <c r="V64" s="49"/>
      <c r="W64" s="49"/>
      <c r="X64" s="49"/>
      <c r="Y64" s="49"/>
      <c r="Z64" s="49"/>
      <c r="AA64" s="49"/>
      <c r="AB64" s="49"/>
      <c r="AC64" s="49"/>
      <c r="AD64" s="49"/>
      <c r="AE64" s="49"/>
      <c r="AF64" s="49"/>
      <c r="AG64" s="49"/>
      <c r="AH64" s="49"/>
      <c r="AI64" s="49"/>
      <c r="AJ64" s="49"/>
      <c r="AK64" s="49"/>
      <c r="AL64" s="49"/>
      <c r="AM64" s="49"/>
      <c r="AN64" s="49"/>
      <c r="AO64" s="49"/>
    </row>
    <row r="65" spans="1:41" x14ac:dyDescent="0.25">
      <c r="A65" s="49"/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  <c r="Q65" s="49"/>
      <c r="R65" s="54"/>
      <c r="S65" s="49"/>
      <c r="T65" s="49"/>
      <c r="U65" s="49"/>
      <c r="V65" s="49"/>
      <c r="W65" s="49"/>
      <c r="X65" s="49"/>
      <c r="Y65" s="49"/>
      <c r="Z65" s="49"/>
      <c r="AA65" s="49"/>
      <c r="AB65" s="49"/>
      <c r="AC65" s="49"/>
      <c r="AD65" s="49"/>
      <c r="AE65" s="49"/>
      <c r="AF65" s="49"/>
      <c r="AG65" s="49"/>
      <c r="AH65" s="49"/>
      <c r="AI65" s="49"/>
      <c r="AJ65" s="49"/>
      <c r="AK65" s="49"/>
      <c r="AL65" s="49"/>
      <c r="AM65" s="49"/>
      <c r="AN65" s="49"/>
      <c r="AO65" s="49"/>
    </row>
    <row r="66" spans="1:41" x14ac:dyDescent="0.25">
      <c r="A66" s="49"/>
      <c r="B66" s="49"/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  <c r="Q66" s="49"/>
      <c r="R66" s="54"/>
      <c r="S66" s="49"/>
      <c r="T66" s="49"/>
      <c r="U66" s="49"/>
      <c r="V66" s="49"/>
      <c r="W66" s="49"/>
      <c r="X66" s="49"/>
      <c r="Y66" s="49"/>
      <c r="Z66" s="49"/>
      <c r="AA66" s="49"/>
      <c r="AB66" s="49"/>
      <c r="AC66" s="49"/>
      <c r="AD66" s="49"/>
      <c r="AE66" s="49"/>
      <c r="AF66" s="49"/>
      <c r="AG66" s="49"/>
      <c r="AH66" s="49"/>
      <c r="AI66" s="49"/>
      <c r="AJ66" s="49"/>
      <c r="AK66" s="49"/>
      <c r="AL66" s="49"/>
      <c r="AM66" s="49"/>
      <c r="AN66" s="49"/>
      <c r="AO66" s="49"/>
    </row>
    <row r="67" spans="1:41" x14ac:dyDescent="0.25">
      <c r="A67" s="49"/>
      <c r="B67" s="49"/>
      <c r="C67" s="49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49"/>
      <c r="P67" s="49"/>
      <c r="Q67" s="104"/>
      <c r="R67" s="49"/>
      <c r="S67" s="49"/>
      <c r="T67" s="49"/>
      <c r="U67" s="49"/>
      <c r="V67" s="49"/>
      <c r="W67" s="49"/>
      <c r="X67" s="49"/>
      <c r="Y67" s="49"/>
      <c r="Z67" s="49"/>
      <c r="AA67" s="49"/>
      <c r="AB67" s="49"/>
      <c r="AC67" s="49"/>
      <c r="AD67" s="49"/>
      <c r="AE67" s="49"/>
      <c r="AF67" s="49"/>
      <c r="AG67" s="49"/>
      <c r="AH67" s="49"/>
      <c r="AI67" s="49"/>
      <c r="AJ67" s="49"/>
      <c r="AK67" s="49"/>
      <c r="AL67" s="49"/>
      <c r="AM67" s="49"/>
      <c r="AN67" s="49"/>
      <c r="AO67" s="49"/>
    </row>
    <row r="68" spans="1:41" x14ac:dyDescent="0.25">
      <c r="A68" s="49"/>
      <c r="B68" s="49"/>
      <c r="C68" s="49" t="s">
        <v>204</v>
      </c>
      <c r="D68" s="49"/>
      <c r="E68" s="49"/>
      <c r="F68" s="49"/>
      <c r="G68" s="49"/>
      <c r="H68" s="49"/>
      <c r="I68" s="49"/>
      <c r="J68" s="49"/>
      <c r="K68" s="49"/>
      <c r="L68" s="49"/>
      <c r="M68" s="49"/>
      <c r="N68" s="49"/>
      <c r="O68" s="49"/>
      <c r="P68" s="49"/>
      <c r="Q68" s="104"/>
      <c r="R68" s="49"/>
      <c r="S68" s="49"/>
      <c r="T68" s="49"/>
      <c r="U68" s="49"/>
      <c r="V68" s="49"/>
      <c r="W68" s="49"/>
      <c r="X68" s="49"/>
      <c r="Y68" s="49"/>
      <c r="Z68" s="49"/>
      <c r="AA68" s="49"/>
      <c r="AB68" s="49"/>
      <c r="AC68" s="49"/>
      <c r="AD68" s="49"/>
      <c r="AE68" s="49"/>
      <c r="AF68" s="49"/>
      <c r="AG68" s="49"/>
      <c r="AH68" s="49"/>
      <c r="AI68" s="49"/>
      <c r="AJ68" s="49"/>
      <c r="AK68" s="49"/>
      <c r="AL68" s="49"/>
      <c r="AM68" s="49"/>
      <c r="AN68" s="49"/>
      <c r="AO68" s="49"/>
    </row>
    <row r="69" spans="1:41" x14ac:dyDescent="0.25">
      <c r="A69" s="49"/>
      <c r="B69" s="49"/>
      <c r="C69" s="49"/>
      <c r="D69" s="49"/>
      <c r="E69" s="49"/>
      <c r="F69" s="49"/>
      <c r="G69" s="49"/>
      <c r="H69" s="49"/>
      <c r="I69" s="49"/>
      <c r="J69" s="49"/>
      <c r="K69" s="49"/>
      <c r="L69" s="49"/>
      <c r="M69" s="49"/>
      <c r="N69" s="49"/>
      <c r="O69" s="49"/>
      <c r="P69" s="49"/>
      <c r="Q69" s="49"/>
      <c r="R69" s="49"/>
      <c r="S69" s="49"/>
      <c r="T69" s="49"/>
      <c r="U69" s="49"/>
      <c r="V69" s="49"/>
      <c r="W69" s="49"/>
      <c r="X69" s="49"/>
      <c r="Y69" s="49"/>
      <c r="Z69" s="49"/>
      <c r="AA69" s="49"/>
      <c r="AB69" s="49"/>
      <c r="AC69" s="49"/>
      <c r="AD69" s="49"/>
      <c r="AE69" s="49"/>
      <c r="AF69" s="49"/>
      <c r="AG69" s="49"/>
      <c r="AH69" s="49"/>
      <c r="AI69" s="49"/>
      <c r="AJ69" s="49"/>
      <c r="AK69" s="49"/>
      <c r="AL69" s="49"/>
      <c r="AM69" s="49"/>
      <c r="AN69" s="49"/>
      <c r="AO69" s="49"/>
    </row>
    <row r="70" spans="1:41" ht="15.6" x14ac:dyDescent="0.25">
      <c r="A70" s="49"/>
      <c r="B70" s="49"/>
      <c r="C70" s="49"/>
      <c r="D70" s="45" t="s">
        <v>70</v>
      </c>
      <c r="E70" s="45" t="s">
        <v>96</v>
      </c>
      <c r="F70" s="49"/>
      <c r="G70" s="49"/>
      <c r="H70" s="49"/>
      <c r="I70" s="49"/>
      <c r="J70" s="49"/>
      <c r="K70" s="49"/>
      <c r="L70" s="49"/>
      <c r="M70" s="49"/>
      <c r="N70" s="49"/>
      <c r="O70" s="49"/>
      <c r="P70" s="49"/>
      <c r="Q70" s="49"/>
      <c r="R70" s="49"/>
      <c r="S70" s="49"/>
      <c r="T70" s="49"/>
      <c r="U70" s="49"/>
      <c r="V70" s="49"/>
      <c r="W70" s="49"/>
      <c r="X70" s="49"/>
      <c r="Y70" s="49"/>
      <c r="Z70" s="49"/>
      <c r="AA70" s="49"/>
      <c r="AB70" s="49"/>
      <c r="AC70" s="49"/>
      <c r="AD70" s="49"/>
      <c r="AE70" s="49"/>
      <c r="AF70" s="49"/>
      <c r="AG70" s="49"/>
      <c r="AH70" s="49"/>
      <c r="AI70" s="49"/>
      <c r="AJ70" s="49"/>
      <c r="AK70" s="49"/>
      <c r="AL70" s="49"/>
      <c r="AM70" s="49"/>
      <c r="AN70" s="49"/>
      <c r="AO70" s="49"/>
    </row>
    <row r="71" spans="1:41" ht="13.8" x14ac:dyDescent="0.25">
      <c r="A71" s="49"/>
      <c r="B71" s="49"/>
      <c r="C71" s="49"/>
      <c r="D71" s="43">
        <v>0</v>
      </c>
      <c r="E71" s="43">
        <v>0</v>
      </c>
      <c r="F71" s="49"/>
      <c r="G71" s="49"/>
      <c r="H71" s="49"/>
      <c r="I71" s="49"/>
      <c r="J71" s="49"/>
      <c r="K71" s="49"/>
      <c r="L71" s="49"/>
      <c r="M71" s="49"/>
      <c r="N71" s="49"/>
      <c r="O71" s="49"/>
      <c r="P71" s="49"/>
      <c r="Q71" s="49"/>
      <c r="R71" s="49"/>
      <c r="S71" s="49"/>
      <c r="T71" s="49"/>
      <c r="U71" s="49"/>
      <c r="V71" s="49"/>
      <c r="W71" s="49"/>
      <c r="X71" s="49"/>
      <c r="Y71" s="49"/>
      <c r="Z71" s="49"/>
      <c r="AA71" s="49"/>
      <c r="AB71" s="49"/>
      <c r="AC71" s="49"/>
      <c r="AD71" s="49"/>
      <c r="AE71" s="49"/>
      <c r="AF71" s="49"/>
      <c r="AG71" s="49"/>
      <c r="AH71" s="49"/>
      <c r="AI71" s="49"/>
      <c r="AJ71" s="49"/>
      <c r="AK71" s="49"/>
      <c r="AL71" s="49"/>
      <c r="AM71" s="49"/>
      <c r="AN71" s="49"/>
      <c r="AO71" s="49"/>
    </row>
    <row r="72" spans="1:41" ht="13.8" x14ac:dyDescent="0.25">
      <c r="A72" s="49"/>
      <c r="B72" s="49"/>
      <c r="C72" s="49"/>
      <c r="D72" s="44">
        <f>I18</f>
        <v>0.73196900032124101</v>
      </c>
      <c r="E72" s="44">
        <f>P18</f>
        <v>13.834398626663146</v>
      </c>
      <c r="F72" s="49"/>
      <c r="G72" s="49"/>
      <c r="H72" s="49"/>
      <c r="I72" s="49"/>
      <c r="J72" s="49"/>
      <c r="K72" s="49"/>
      <c r="L72" s="49"/>
      <c r="M72" s="49"/>
      <c r="N72" s="49"/>
      <c r="O72" s="49"/>
      <c r="P72" s="49"/>
      <c r="Q72" s="49"/>
      <c r="R72" s="49"/>
      <c r="S72" s="49"/>
      <c r="T72" s="49"/>
      <c r="U72" s="49"/>
      <c r="V72" s="49"/>
      <c r="W72" s="49"/>
      <c r="X72" s="49"/>
      <c r="Y72" s="49"/>
      <c r="Z72" s="49"/>
      <c r="AA72" s="49"/>
      <c r="AB72" s="49"/>
      <c r="AC72" s="49"/>
      <c r="AD72" s="49"/>
      <c r="AE72" s="49"/>
      <c r="AF72" s="49"/>
      <c r="AG72" s="49"/>
      <c r="AH72" s="49"/>
      <c r="AI72" s="49"/>
      <c r="AJ72" s="49"/>
      <c r="AK72" s="49"/>
      <c r="AL72" s="49"/>
      <c r="AM72" s="49"/>
      <c r="AN72" s="49"/>
      <c r="AO72" s="49"/>
    </row>
    <row r="73" spans="1:41" ht="13.8" x14ac:dyDescent="0.25">
      <c r="A73" s="49"/>
      <c r="B73" s="49"/>
      <c r="C73" s="49"/>
      <c r="D73" s="44">
        <f>H18</f>
        <v>2.0851292873471023</v>
      </c>
      <c r="E73" s="43">
        <v>0</v>
      </c>
      <c r="F73" s="49"/>
      <c r="G73" s="49"/>
      <c r="H73" s="49"/>
      <c r="I73" s="49"/>
      <c r="J73" s="49"/>
      <c r="K73" s="49"/>
      <c r="L73" s="49"/>
      <c r="M73" s="49"/>
      <c r="N73" s="49"/>
      <c r="O73" s="49"/>
      <c r="P73" s="49"/>
      <c r="Q73" s="49"/>
      <c r="R73" s="49"/>
      <c r="S73" s="49"/>
      <c r="T73" s="49"/>
      <c r="U73" s="49"/>
      <c r="V73" s="49"/>
      <c r="W73" s="49"/>
      <c r="X73" s="49"/>
      <c r="Y73" s="49"/>
      <c r="Z73" s="49"/>
      <c r="AA73" s="49"/>
      <c r="AB73" s="49"/>
      <c r="AC73" s="49"/>
      <c r="AD73" s="49"/>
      <c r="AE73" s="49"/>
      <c r="AF73" s="49"/>
      <c r="AG73" s="49"/>
      <c r="AH73" s="49"/>
      <c r="AI73" s="49"/>
      <c r="AJ73" s="49"/>
      <c r="AK73" s="49"/>
      <c r="AL73" s="49"/>
      <c r="AM73" s="49"/>
      <c r="AN73" s="49"/>
      <c r="AO73" s="49"/>
    </row>
    <row r="74" spans="1:41" x14ac:dyDescent="0.25">
      <c r="A74" s="49"/>
      <c r="B74" s="49"/>
      <c r="C74" s="49"/>
      <c r="D74" s="49"/>
      <c r="E74" s="49"/>
      <c r="F74" s="49"/>
      <c r="G74" s="49"/>
      <c r="H74" s="49"/>
      <c r="I74" s="49"/>
      <c r="J74" s="49"/>
      <c r="K74" s="49"/>
      <c r="L74" s="49"/>
      <c r="M74" s="49"/>
      <c r="N74" s="49"/>
      <c r="O74" s="49"/>
      <c r="P74" s="49"/>
      <c r="Q74" s="49"/>
      <c r="R74" s="49"/>
      <c r="S74" s="49"/>
      <c r="T74" s="49"/>
      <c r="U74" s="49"/>
      <c r="V74" s="49"/>
      <c r="W74" s="49"/>
      <c r="X74" s="49"/>
      <c r="Y74" s="49"/>
      <c r="Z74" s="49"/>
      <c r="AA74" s="49"/>
      <c r="AB74" s="49"/>
      <c r="AC74" s="49"/>
      <c r="AD74" s="49"/>
      <c r="AE74" s="49"/>
      <c r="AF74" s="49"/>
      <c r="AG74" s="49"/>
      <c r="AH74" s="49"/>
      <c r="AI74" s="49"/>
      <c r="AJ74" s="49"/>
      <c r="AK74" s="49"/>
      <c r="AL74" s="49"/>
      <c r="AM74" s="49"/>
      <c r="AN74" s="49"/>
      <c r="AO74" s="49"/>
    </row>
    <row r="75" spans="1:41" x14ac:dyDescent="0.25">
      <c r="A75" s="49"/>
      <c r="B75" s="49"/>
      <c r="C75" s="49"/>
      <c r="D75" s="49"/>
      <c r="E75" s="49"/>
      <c r="F75" s="49"/>
      <c r="G75" s="49"/>
      <c r="H75" s="49"/>
      <c r="I75" s="49"/>
      <c r="J75" s="49"/>
      <c r="K75" s="49"/>
      <c r="L75" s="49"/>
      <c r="M75" s="49"/>
      <c r="N75" s="49"/>
      <c r="O75" s="49"/>
      <c r="P75" s="49"/>
      <c r="Q75" s="49"/>
      <c r="R75" s="49"/>
      <c r="S75" s="49"/>
      <c r="T75" s="49"/>
      <c r="U75" s="49"/>
      <c r="V75" s="49"/>
      <c r="W75" s="49"/>
      <c r="X75" s="49"/>
      <c r="Y75" s="49"/>
      <c r="Z75" s="49"/>
      <c r="AA75" s="49"/>
      <c r="AB75" s="49"/>
      <c r="AC75" s="49"/>
      <c r="AD75" s="49"/>
      <c r="AE75" s="49"/>
      <c r="AF75" s="49"/>
      <c r="AG75" s="49"/>
      <c r="AH75" s="49"/>
      <c r="AI75" s="49"/>
      <c r="AJ75" s="49"/>
      <c r="AK75" s="49"/>
      <c r="AL75" s="49"/>
      <c r="AM75" s="49"/>
      <c r="AN75" s="49"/>
      <c r="AO75" s="49"/>
    </row>
    <row r="76" spans="1:41" x14ac:dyDescent="0.25">
      <c r="A76" s="49"/>
      <c r="B76" s="49"/>
      <c r="C76" s="49"/>
      <c r="D76" s="49"/>
      <c r="E76" s="49"/>
      <c r="F76" s="49"/>
      <c r="G76" s="49"/>
      <c r="H76" s="49"/>
      <c r="I76" s="49"/>
      <c r="J76" s="49"/>
      <c r="K76" s="49"/>
      <c r="L76" s="49"/>
      <c r="M76" s="49"/>
      <c r="N76" s="49"/>
      <c r="O76" s="49"/>
      <c r="P76" s="49"/>
      <c r="Q76" s="49"/>
      <c r="R76" s="49"/>
      <c r="S76" s="49"/>
      <c r="T76" s="49"/>
      <c r="U76" s="49"/>
      <c r="V76" s="49"/>
      <c r="W76" s="49"/>
      <c r="X76" s="49"/>
      <c r="Y76" s="49"/>
      <c r="Z76" s="49"/>
      <c r="AA76" s="49"/>
      <c r="AB76" s="49"/>
      <c r="AC76" s="49"/>
      <c r="AD76" s="49"/>
      <c r="AE76" s="49"/>
      <c r="AF76" s="49"/>
      <c r="AG76" s="49"/>
      <c r="AH76" s="49"/>
      <c r="AI76" s="49"/>
      <c r="AJ76" s="49"/>
      <c r="AK76" s="49"/>
      <c r="AL76" s="49"/>
      <c r="AM76" s="49"/>
      <c r="AN76" s="49"/>
      <c r="AO76" s="49"/>
    </row>
    <row r="77" spans="1:41" x14ac:dyDescent="0.25">
      <c r="A77" s="49"/>
      <c r="B77" s="49"/>
      <c r="C77" s="49"/>
      <c r="D77" s="49"/>
      <c r="E77" s="49"/>
      <c r="F77" s="49"/>
      <c r="G77" s="49"/>
      <c r="H77" s="49"/>
      <c r="I77" s="49"/>
      <c r="J77" s="49"/>
      <c r="K77" s="49"/>
      <c r="L77" s="49"/>
      <c r="M77" s="49"/>
      <c r="N77" s="49"/>
      <c r="O77" s="49"/>
      <c r="P77" s="49"/>
      <c r="Q77" s="49"/>
      <c r="R77" s="49"/>
      <c r="S77" s="49"/>
      <c r="T77" s="49"/>
      <c r="U77" s="49"/>
      <c r="V77" s="49"/>
      <c r="W77" s="49"/>
      <c r="X77" s="49"/>
      <c r="Y77" s="49"/>
      <c r="Z77" s="49"/>
      <c r="AA77" s="49"/>
      <c r="AB77" s="49"/>
      <c r="AC77" s="49"/>
      <c r="AD77" s="49"/>
      <c r="AE77" s="49"/>
      <c r="AF77" s="49"/>
      <c r="AG77" s="49"/>
      <c r="AH77" s="49"/>
      <c r="AI77" s="49"/>
      <c r="AJ77" s="49"/>
      <c r="AK77" s="49"/>
      <c r="AL77" s="49"/>
      <c r="AM77" s="49"/>
      <c r="AN77" s="49"/>
      <c r="AO77" s="49"/>
    </row>
    <row r="78" spans="1:41" x14ac:dyDescent="0.25">
      <c r="A78" s="49"/>
      <c r="B78" s="49"/>
      <c r="C78" s="49"/>
      <c r="D78" s="49"/>
      <c r="E78" s="49"/>
      <c r="F78" s="49"/>
      <c r="G78" s="49"/>
      <c r="H78" s="49"/>
      <c r="I78" s="49"/>
      <c r="J78" s="49"/>
      <c r="K78" s="49"/>
      <c r="L78" s="49"/>
      <c r="M78" s="49"/>
      <c r="N78" s="49"/>
      <c r="O78" s="49"/>
      <c r="P78" s="49"/>
      <c r="Q78" s="49"/>
      <c r="R78" s="49"/>
      <c r="S78" s="49"/>
      <c r="T78" s="49"/>
      <c r="U78" s="49"/>
      <c r="V78" s="49"/>
      <c r="W78" s="49"/>
      <c r="X78" s="49"/>
      <c r="Y78" s="49"/>
      <c r="Z78" s="49"/>
      <c r="AA78" s="49"/>
      <c r="AB78" s="49"/>
      <c r="AC78" s="49"/>
      <c r="AD78" s="49"/>
      <c r="AE78" s="49"/>
      <c r="AF78" s="49"/>
      <c r="AG78" s="49"/>
      <c r="AH78" s="49"/>
      <c r="AI78" s="49"/>
      <c r="AJ78" s="49"/>
      <c r="AK78" s="49"/>
      <c r="AL78" s="49"/>
      <c r="AM78" s="49"/>
      <c r="AN78" s="49"/>
      <c r="AO78" s="49"/>
    </row>
    <row r="79" spans="1:41" x14ac:dyDescent="0.25">
      <c r="A79" s="49"/>
      <c r="B79" s="49"/>
      <c r="C79" s="49"/>
      <c r="D79" s="49"/>
      <c r="E79" s="49"/>
      <c r="F79" s="49"/>
      <c r="G79" s="49"/>
      <c r="H79" s="49"/>
      <c r="I79" s="49"/>
      <c r="J79" s="49"/>
      <c r="K79" s="49"/>
      <c r="L79" s="49"/>
      <c r="M79" s="49"/>
      <c r="N79" s="49"/>
      <c r="O79" s="49"/>
      <c r="P79" s="49"/>
      <c r="Q79" s="49"/>
      <c r="R79" s="49"/>
      <c r="S79" s="49"/>
      <c r="T79" s="49"/>
      <c r="U79" s="49"/>
      <c r="V79" s="49"/>
      <c r="W79" s="49"/>
      <c r="X79" s="49"/>
      <c r="Y79" s="49"/>
      <c r="Z79" s="49"/>
      <c r="AA79" s="49"/>
      <c r="AB79" s="49"/>
      <c r="AC79" s="49"/>
      <c r="AD79" s="49"/>
      <c r="AE79" s="49"/>
      <c r="AF79" s="49"/>
      <c r="AG79" s="49"/>
      <c r="AH79" s="49"/>
      <c r="AI79" s="49"/>
      <c r="AJ79" s="49"/>
      <c r="AK79" s="49"/>
      <c r="AL79" s="49"/>
      <c r="AM79" s="49"/>
      <c r="AN79" s="49"/>
      <c r="AO79" s="49"/>
    </row>
    <row r="80" spans="1:41" x14ac:dyDescent="0.25">
      <c r="A80" s="49"/>
      <c r="B80" s="49"/>
      <c r="C80" s="49"/>
      <c r="D80" s="49"/>
      <c r="E80" s="49"/>
      <c r="F80" s="49"/>
      <c r="G80" s="49"/>
      <c r="H80" s="49"/>
      <c r="I80" s="49"/>
      <c r="J80" s="49"/>
      <c r="K80" s="49"/>
      <c r="L80" s="49"/>
      <c r="M80" s="49"/>
      <c r="N80" s="49"/>
      <c r="O80" s="49"/>
      <c r="P80" s="49"/>
      <c r="Q80" s="49"/>
      <c r="R80" s="49"/>
      <c r="S80" s="49"/>
      <c r="T80" s="49"/>
      <c r="U80" s="49"/>
      <c r="V80" s="49"/>
      <c r="W80" s="49"/>
      <c r="X80" s="49"/>
      <c r="Y80" s="49"/>
      <c r="Z80" s="49"/>
      <c r="AA80" s="49"/>
      <c r="AB80" s="49"/>
      <c r="AC80" s="49"/>
      <c r="AD80" s="49"/>
      <c r="AE80" s="49"/>
      <c r="AF80" s="49"/>
      <c r="AG80" s="49"/>
      <c r="AH80" s="49"/>
      <c r="AI80" s="49"/>
      <c r="AJ80" s="49"/>
      <c r="AK80" s="49"/>
      <c r="AL80" s="49"/>
      <c r="AM80" s="49"/>
      <c r="AN80" s="49"/>
      <c r="AO80" s="49"/>
    </row>
    <row r="81" spans="1:27" x14ac:dyDescent="0.25">
      <c r="A81" s="49"/>
      <c r="B81" s="49"/>
      <c r="C81" s="49"/>
      <c r="D81" s="49"/>
      <c r="E81" s="49"/>
      <c r="F81" s="49"/>
      <c r="G81" s="49"/>
      <c r="H81" s="49"/>
      <c r="I81" s="49"/>
      <c r="J81" s="49"/>
      <c r="K81" s="49"/>
      <c r="L81" s="49"/>
      <c r="M81" s="49"/>
      <c r="N81" s="49"/>
      <c r="O81" s="49"/>
      <c r="P81" s="49"/>
      <c r="Q81" s="49"/>
      <c r="R81" s="49"/>
      <c r="S81" s="49"/>
      <c r="T81" s="49"/>
      <c r="U81" s="49"/>
      <c r="V81" s="49"/>
      <c r="W81" s="49"/>
      <c r="X81" s="49"/>
      <c r="Y81" s="49"/>
      <c r="Z81" s="49"/>
      <c r="AA81" s="49"/>
    </row>
    <row r="82" spans="1:27" x14ac:dyDescent="0.25">
      <c r="A82" s="49"/>
      <c r="B82" s="49"/>
      <c r="C82" s="49"/>
      <c r="D82" s="49"/>
      <c r="E82" s="49"/>
      <c r="F82" s="49"/>
      <c r="G82" s="49"/>
      <c r="H82" s="49"/>
      <c r="I82" s="49"/>
      <c r="J82" s="49"/>
      <c r="K82" s="49"/>
      <c r="L82" s="49"/>
      <c r="M82" s="49"/>
      <c r="N82" s="49"/>
      <c r="O82" s="49"/>
      <c r="P82" s="49"/>
      <c r="Q82" s="49"/>
      <c r="R82" s="49"/>
      <c r="S82" s="49"/>
      <c r="T82" s="49"/>
      <c r="U82" s="49"/>
      <c r="V82" s="49"/>
      <c r="W82" s="49"/>
      <c r="X82" s="49"/>
      <c r="Y82" s="49"/>
      <c r="Z82" s="49"/>
      <c r="AA82" s="49"/>
    </row>
    <row r="83" spans="1:27" x14ac:dyDescent="0.25">
      <c r="A83" s="49"/>
      <c r="B83" s="49"/>
      <c r="C83" s="49"/>
      <c r="D83" s="49"/>
      <c r="E83" s="49"/>
      <c r="F83" s="49"/>
      <c r="G83" s="49"/>
      <c r="H83" s="49"/>
      <c r="I83" s="49"/>
      <c r="J83" s="49"/>
      <c r="K83" s="49"/>
      <c r="L83" s="49"/>
      <c r="M83" s="49"/>
      <c r="N83" s="49"/>
      <c r="O83" s="49"/>
      <c r="P83" s="49"/>
      <c r="Q83" s="49"/>
      <c r="R83" s="49"/>
      <c r="S83" s="49"/>
      <c r="T83" s="49"/>
      <c r="U83" s="49"/>
      <c r="V83" s="49"/>
      <c r="W83" s="49"/>
      <c r="X83" s="49"/>
      <c r="Y83" s="49"/>
      <c r="Z83" s="49"/>
    </row>
    <row r="84" spans="1:27" x14ac:dyDescent="0.25">
      <c r="A84" s="49"/>
      <c r="B84" s="49"/>
      <c r="C84" s="49"/>
      <c r="D84" s="49"/>
      <c r="E84" s="49"/>
      <c r="F84" s="49"/>
      <c r="G84" s="49"/>
      <c r="H84" s="49"/>
      <c r="I84" s="49"/>
      <c r="J84" s="49"/>
      <c r="K84" s="49"/>
      <c r="L84" s="49"/>
      <c r="M84" s="49"/>
      <c r="N84" s="49"/>
      <c r="O84" s="49"/>
      <c r="P84" s="49"/>
      <c r="Q84" s="49"/>
      <c r="R84" s="49"/>
      <c r="S84" s="49"/>
      <c r="T84" s="49"/>
      <c r="U84" s="49"/>
      <c r="V84" s="49"/>
      <c r="W84" s="49"/>
      <c r="X84" s="49"/>
      <c r="Y84" s="49"/>
      <c r="Z84" s="49"/>
    </row>
    <row r="85" spans="1:27" x14ac:dyDescent="0.25">
      <c r="A85" s="49"/>
      <c r="B85" s="49"/>
      <c r="C85" s="49"/>
      <c r="D85" s="49"/>
      <c r="E85" s="49"/>
      <c r="F85" s="49"/>
      <c r="G85" s="49"/>
      <c r="H85" s="49"/>
      <c r="I85" s="49"/>
      <c r="J85" s="49"/>
      <c r="K85" s="49"/>
      <c r="L85" s="49"/>
      <c r="M85" s="49"/>
      <c r="N85" s="49"/>
      <c r="O85" s="49"/>
      <c r="P85" s="49"/>
      <c r="Q85" s="49"/>
      <c r="R85" s="49"/>
      <c r="S85" s="49"/>
      <c r="T85" s="49"/>
      <c r="U85" s="49"/>
      <c r="V85" s="49"/>
      <c r="W85" s="49"/>
      <c r="X85" s="49"/>
      <c r="Y85" s="49"/>
      <c r="Z85" s="49"/>
    </row>
    <row r="86" spans="1:27" x14ac:dyDescent="0.25">
      <c r="A86" s="49"/>
      <c r="B86" s="49"/>
      <c r="C86" s="49"/>
      <c r="D86" s="49"/>
      <c r="E86" s="49"/>
      <c r="F86" s="49"/>
      <c r="G86" s="49"/>
      <c r="H86" s="49"/>
      <c r="I86" s="49"/>
      <c r="J86" s="49"/>
      <c r="K86" s="49"/>
      <c r="L86" s="49"/>
      <c r="M86" s="49"/>
      <c r="N86" s="49"/>
      <c r="O86" s="49"/>
      <c r="P86" s="49"/>
      <c r="Q86" s="49"/>
      <c r="R86" s="49"/>
      <c r="S86" s="49"/>
      <c r="T86" s="49"/>
      <c r="U86" s="49"/>
      <c r="V86" s="49"/>
      <c r="W86" s="49"/>
      <c r="X86" s="49"/>
      <c r="Y86" s="49"/>
      <c r="Z86" s="49"/>
    </row>
    <row r="88" spans="1:27" x14ac:dyDescent="0.25">
      <c r="C88" s="49" t="s">
        <v>205</v>
      </c>
    </row>
    <row r="90" spans="1:27" ht="15.6" x14ac:dyDescent="0.25">
      <c r="D90" s="45" t="s">
        <v>70</v>
      </c>
      <c r="E90" s="45" t="s">
        <v>96</v>
      </c>
    </row>
    <row r="91" spans="1:27" ht="13.8" x14ac:dyDescent="0.25">
      <c r="D91" s="43">
        <v>0</v>
      </c>
      <c r="E91" s="43">
        <v>0</v>
      </c>
    </row>
    <row r="92" spans="1:27" ht="13.8" x14ac:dyDescent="0.25">
      <c r="D92" s="44">
        <f>I19</f>
        <v>0.67209092754718536</v>
      </c>
      <c r="E92" s="44">
        <f>P19</f>
        <v>12.13084239343838</v>
      </c>
    </row>
    <row r="93" spans="1:27" ht="13.8" x14ac:dyDescent="0.25">
      <c r="D93" s="44">
        <f>H19</f>
        <v>3.6829838025543316</v>
      </c>
      <c r="E93" s="43">
        <v>0</v>
      </c>
    </row>
    <row r="109" spans="3:5" x14ac:dyDescent="0.25">
      <c r="C109" s="49" t="s">
        <v>206</v>
      </c>
    </row>
    <row r="110" spans="3:5" ht="15.6" x14ac:dyDescent="0.25">
      <c r="D110" s="45" t="s">
        <v>70</v>
      </c>
      <c r="E110" s="45" t="s">
        <v>96</v>
      </c>
    </row>
    <row r="111" spans="3:5" ht="13.8" x14ac:dyDescent="0.25">
      <c r="D111" s="43">
        <v>0</v>
      </c>
      <c r="E111" s="43">
        <v>0</v>
      </c>
    </row>
    <row r="112" spans="3:5" ht="13.8" x14ac:dyDescent="0.25">
      <c r="D112" s="44">
        <f>I20</f>
        <v>0.76674877401697017</v>
      </c>
      <c r="E112" s="44">
        <f>P20</f>
        <v>13.839360348022183</v>
      </c>
    </row>
    <row r="113" spans="4:5" ht="13.8" x14ac:dyDescent="0.25">
      <c r="D113" s="44">
        <f>H20</f>
        <v>3.3368817619307638</v>
      </c>
      <c r="E113" s="43">
        <v>0</v>
      </c>
    </row>
  </sheetData>
  <mergeCells count="19">
    <mergeCell ref="J2:M2"/>
    <mergeCell ref="H2:H3"/>
    <mergeCell ref="I2:I3"/>
    <mergeCell ref="G16:G17"/>
    <mergeCell ref="H16:H17"/>
    <mergeCell ref="I16:I17"/>
    <mergeCell ref="K16:R16"/>
    <mergeCell ref="B14:R14"/>
    <mergeCell ref="B2:B3"/>
    <mergeCell ref="C2:C3"/>
    <mergeCell ref="D2:D3"/>
    <mergeCell ref="E2:E3"/>
    <mergeCell ref="F2:G2"/>
    <mergeCell ref="B16:B17"/>
    <mergeCell ref="C16:C17"/>
    <mergeCell ref="D16:D17"/>
    <mergeCell ref="E16:E17"/>
    <mergeCell ref="J16:J17"/>
    <mergeCell ref="F16:F17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5</vt:i4>
      </vt:variant>
      <vt:variant>
        <vt:lpstr>Rangos con nombre</vt:lpstr>
      </vt:variant>
      <vt:variant>
        <vt:i4>1</vt:i4>
      </vt:variant>
    </vt:vector>
  </HeadingPairs>
  <TitlesOfParts>
    <vt:vector size="6" baseType="lpstr">
      <vt:lpstr>PENDIENTE_CUENCA-_ALTM_HIPSO</vt:lpstr>
      <vt:lpstr>Rectángulo equivalente</vt:lpstr>
      <vt:lpstr>Parámetros geomorfológicos</vt:lpstr>
      <vt:lpstr>Parámetros meteorológicos</vt:lpstr>
      <vt:lpstr>Cálculo de caudales de diseño</vt:lpstr>
      <vt:lpstr>'PENDIENTE_CUENCA-_ALTM_HIPSO'!Área_de_impresión</vt:lpstr>
    </vt:vector>
  </TitlesOfParts>
  <Company>jll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Jaime Linares Linares</dc:creator>
  <cp:lastModifiedBy>Flor</cp:lastModifiedBy>
  <cp:lastPrinted>2004-07-01T17:43:17Z</cp:lastPrinted>
  <dcterms:created xsi:type="dcterms:W3CDTF">2004-03-09T13:38:19Z</dcterms:created>
  <dcterms:modified xsi:type="dcterms:W3CDTF">2019-10-11T20:55:02Z</dcterms:modified>
</cp:coreProperties>
</file>